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03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  <sheet name="Tabla 12" sheetId="13" r:id="rId13"/>
  </sheets>
  <definedNames>
    <definedName name="HTML_CodePage" hidden="1">1252</definedName>
    <definedName name="HTML_Control" hidden="1">{"'3'!$B$4:$K$4"}</definedName>
    <definedName name="HTML_Description" hidden="1">""</definedName>
    <definedName name="HTML_Email" hidden="1">""</definedName>
    <definedName name="HTML_Header" hidden="1">"3"</definedName>
    <definedName name="HTML_LastUpdate" hidden="1">"18/09/01"</definedName>
    <definedName name="HTML_LineAfter" hidden="1">FALSE</definedName>
    <definedName name="HTML_LineBefore" hidden="1">FALSE</definedName>
    <definedName name="HTML_Name" hidden="1">"ine"</definedName>
    <definedName name="HTML_OBDlg2" hidden="1">TRUE</definedName>
    <definedName name="HTML_OBDlg4" hidden="1">TRUE</definedName>
    <definedName name="HTML_OS" hidden="1">0</definedName>
    <definedName name="HTML_PathFile" hidden="1">"C:\censos\series_historicas\serie_hi.htm"</definedName>
    <definedName name="HTML_Title" hidden="1">"serie_hi"</definedName>
  </definedNames>
  <calcPr fullCalcOnLoad="1"/>
</workbook>
</file>

<file path=xl/sharedStrings.xml><?xml version="1.0" encoding="utf-8"?>
<sst xmlns="http://schemas.openxmlformats.org/spreadsheetml/2006/main" count="681" uniqueCount="197">
  <si>
    <t>AÑOS</t>
  </si>
  <si>
    <t>TOTAL</t>
  </si>
  <si>
    <t>TANTOS POR MIL</t>
  </si>
  <si>
    <t>1768-69</t>
  </si>
  <si>
    <t>MUNICIPIOS</t>
  </si>
  <si>
    <t>-</t>
  </si>
  <si>
    <t>(1)</t>
  </si>
  <si>
    <t xml:space="preserve"> </t>
  </si>
  <si>
    <t>1900-1991</t>
  </si>
  <si>
    <t>Instituto Nacional de Estadística</t>
  </si>
  <si>
    <t>Historical censal figures</t>
  </si>
  <si>
    <t>SPAIN</t>
  </si>
  <si>
    <t>Table 1.</t>
  </si>
  <si>
    <t>Table 2.</t>
  </si>
  <si>
    <t>Table 3.</t>
  </si>
  <si>
    <t>Table 4.</t>
  </si>
  <si>
    <t>Table 5.</t>
  </si>
  <si>
    <t>Table 6.</t>
  </si>
  <si>
    <t>Table 7.</t>
  </si>
  <si>
    <t>Table 8.</t>
  </si>
  <si>
    <t>Table 9.</t>
  </si>
  <si>
    <t>Table 10.</t>
  </si>
  <si>
    <t>Table 11.</t>
  </si>
  <si>
    <t>Table 12.</t>
  </si>
  <si>
    <t>De facto population figures by sex. Non-oficial census.</t>
  </si>
  <si>
    <t>Population by age groups and sex. Men (1900-2001).</t>
  </si>
  <si>
    <t>Population by age groups and sex. Women. (1900-2001).</t>
  </si>
  <si>
    <t>Censal population by sex and marital status. Absolute figures (thousands) and per thousands (1900-2001).</t>
  </si>
  <si>
    <t>Population by age groups and sex. Both sexes (1900-2001).</t>
  </si>
  <si>
    <t>Municipalities and inhabitants (de facto population) by size of the municipalities (1900-2001).</t>
  </si>
  <si>
    <t>Censal population of 10 and more years of age by education level and sex (1950-2001).</t>
  </si>
  <si>
    <t>Performance of the population by economic activity and sex.</t>
  </si>
  <si>
    <t>Economically active censal population by professional status and sex (1950-2001).</t>
  </si>
  <si>
    <t>Economically active censal population by occupation or profession (1950-2001).</t>
  </si>
  <si>
    <t>Economically active censal population by sex and economic sector (1900-2001).</t>
  </si>
  <si>
    <t>Households by size and composition. Absolute figures and percentages. (1970-2001).</t>
  </si>
  <si>
    <t>NON-OFFICIAL CENSUS</t>
  </si>
  <si>
    <t xml:space="preserve">TABLE 1. DE FACTO POPULATION FIGURES BY SEX. </t>
  </si>
  <si>
    <t>YEARS</t>
  </si>
  <si>
    <t>MEN</t>
  </si>
  <si>
    <t>WOMEN</t>
  </si>
  <si>
    <t>Source</t>
  </si>
  <si>
    <t xml:space="preserve">Godoy's Census </t>
  </si>
  <si>
    <t>Conde de Aranda's Census</t>
  </si>
  <si>
    <t>Conde de Floridablanca's Census</t>
  </si>
  <si>
    <t>Crown of Castilla's recount</t>
  </si>
  <si>
    <t>Tabla 2. CENSAL POPULATION BY SEX AND MARITAL STATUS</t>
  </si>
  <si>
    <t>MARITAL STATUS</t>
  </si>
  <si>
    <t>YEAR AND SEX</t>
  </si>
  <si>
    <t>Men</t>
  </si>
  <si>
    <t>Women</t>
  </si>
  <si>
    <t>SINGLE</t>
  </si>
  <si>
    <t>MARRIED (1)</t>
  </si>
  <si>
    <t>WIDOWHOOD</t>
  </si>
  <si>
    <t>LEGALLY SEPARATED</t>
  </si>
  <si>
    <t>AND DIVORCED (2)</t>
  </si>
  <si>
    <t>NOT AVAILABLE</t>
  </si>
  <si>
    <t>Absolute</t>
  </si>
  <si>
    <t>Relative</t>
  </si>
  <si>
    <t>(1) In the 1960, 1970 and 1981 census, it also appears as married those persons in cohabitation.</t>
  </si>
  <si>
    <t>Until 1950 only persons legally married. In 1991 persons in cohabitation were studied separately.</t>
  </si>
  <si>
    <t>(2) This marital status was not taken into account in the cesus previous to 1950.</t>
  </si>
  <si>
    <t>TABLE 3. POPULATION BY AGE GROUPS AND SEX.(1900-2001).</t>
  </si>
  <si>
    <t>BOTH SEXES</t>
  </si>
  <si>
    <t>GROUP</t>
  </si>
  <si>
    <t>YEAR</t>
  </si>
  <si>
    <t>Younger than 5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</si>
  <si>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</si>
  <si>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</si>
  <si>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</si>
  <si>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</si>
  <si>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</si>
  <si>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</si>
  <si>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</si>
  <si>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</si>
  <si>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</si>
  <si>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</si>
  <si>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</si>
  <si>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</si>
  <si>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</si>
  <si>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 xml:space="preserve">70 to 74 </t>
  </si>
  <si>
    <t>75 to 79</t>
  </si>
  <si>
    <t xml:space="preserve"> 80 to 84</t>
  </si>
  <si>
    <t>85 and more</t>
  </si>
  <si>
    <t>Not available</t>
  </si>
  <si>
    <t>1900-1950. De facto population.</t>
  </si>
  <si>
    <t>1960. Usual resident population.</t>
  </si>
  <si>
    <t>In  1970, 1981, and 1991, Peninsula, Baleares, Canarias, Ceuta and Melilla</t>
  </si>
  <si>
    <t>(1) Population of 80 years of age and more.</t>
  </si>
  <si>
    <t>during the most part of the year, or the place that will be of usual living or overnight staying in the case of recent move.</t>
  </si>
  <si>
    <t>1970-1981-1991.De jure population</t>
  </si>
  <si>
    <t>Until 1930 inclusive, it refers to Peninsula, Canarias, Ceuta, Melilla, Plazas menores and Rio Oro.</t>
  </si>
  <si>
    <t>In 1940 and 1950, only Peninsula, Baleares and Canarias. In 1960, Peninsula, Baleares, Canarias, Ceuta, Melilla</t>
  </si>
  <si>
    <t>and Plazas menores.</t>
  </si>
  <si>
    <t xml:space="preserve">Stadistically, it is understood as main residence the place of living or of overnight stays </t>
  </si>
  <si>
    <t>TABLE 4. POPULATION BY AGE GROUPS AND SEX.1900-2001</t>
  </si>
  <si>
    <t>GROUPS</t>
  </si>
  <si>
    <t>TABLE 5. POPULATION BY AGE GROUPS AND SEX.1900-2001</t>
  </si>
  <si>
    <t>BY SIZE OF THE MUNICIPALITIES.1900-1991</t>
  </si>
  <si>
    <t xml:space="preserve">TABLE 6. MUNICIPALITIES AND INHABITANTS (DE FACTO POPULATION) </t>
  </si>
  <si>
    <t>Municipalities</t>
  </si>
  <si>
    <t>Inhabitants</t>
  </si>
  <si>
    <t>ALL THE SIZES (absolute)</t>
  </si>
  <si>
    <t>Peninsula, Baleares, Canarias, Ceuta and Melilla. De facto population.</t>
  </si>
  <si>
    <t>ALL THE SIZES (percentage)</t>
  </si>
  <si>
    <t>Up to 2,000 inhabitants</t>
  </si>
  <si>
    <t>From 2,001-10,000 inhabitants</t>
  </si>
  <si>
    <t>From 10,001 - 50,000 inhabitants</t>
  </si>
  <si>
    <t>From 50,001 - 100,000 inhabitants</t>
  </si>
  <si>
    <t>From 100,001 - 500,000 inhabitants</t>
  </si>
  <si>
    <t>More than 500,000 inhabitants</t>
  </si>
  <si>
    <t xml:space="preserve">TABLE 7. CENSAL POPULATION OF 10 AND MORE YEARS OF AGE </t>
  </si>
  <si>
    <t>BY EDUCATION LEVEL AND SEX.1950-1991.</t>
  </si>
  <si>
    <t>EDUCATION LEVEL</t>
  </si>
  <si>
    <t>Educated</t>
  </si>
  <si>
    <t>Uneducated</t>
  </si>
  <si>
    <t>(Thousands)</t>
  </si>
  <si>
    <t>per 100 inhts.</t>
  </si>
  <si>
    <t>Uneducated: inhabitants of 10 or more years of age who cannot read nor write.</t>
  </si>
  <si>
    <t>BY ECONOMIC ACTIVITY AND SEX</t>
  </si>
  <si>
    <t>TABLE 8. PERFORMANCE OF THE POPULATION</t>
  </si>
  <si>
    <t>ABSOLUTE FIGURES  (THOUSANDS) AND PER MILLE.</t>
  </si>
  <si>
    <t>ABSOLUTE FIGURES (THOUSANDS) AND PER MILLE 1900-2001</t>
  </si>
  <si>
    <t xml:space="preserve">RELATION WITH THE ACTIVITY </t>
  </si>
  <si>
    <t>ABSOLUTE FIGURES (THOUSANDS)</t>
  </si>
  <si>
    <t>Economically active population</t>
  </si>
  <si>
    <t>PER MILLE</t>
  </si>
  <si>
    <t>Economically inactive population</t>
  </si>
  <si>
    <t>In 1981 and 1991, under-16 years of age and men in the obligatory military service</t>
  </si>
  <si>
    <t>together with that economically inactive population proper</t>
  </si>
  <si>
    <t>(population of 16 and over years of age, including retired, pensioner, his/her duties and others)</t>
  </si>
  <si>
    <t>were included.</t>
  </si>
  <si>
    <t>In 1900 and 1910 the addition of economically active and economically inactive population is higher than the total population due to the fact that</t>
  </si>
  <si>
    <t>the data of those inhabitants with more than one profession are duplied.</t>
  </si>
  <si>
    <t>In 1960 differences found between the total of the population and the addition of economically active population and</t>
  </si>
  <si>
    <t>economically inactive population are because of the lack of information of some of the inhabitants who could not be classified.</t>
  </si>
  <si>
    <t>BY PROFESSIONAL STATUS AND SEX (1950-1991).</t>
  </si>
  <si>
    <t xml:space="preserve">TABLE 9. ECONOMICALLY ACTIVE CENSAL POPULATION </t>
  </si>
  <si>
    <t>ABSOLUTE FIGURES AND PER MILLE.</t>
  </si>
  <si>
    <t>PROFESSIONAL STATUS</t>
  </si>
  <si>
    <t xml:space="preserve">ABSOLUTE FIGURES (THOUSANDS) </t>
  </si>
  <si>
    <t>Other status</t>
  </si>
  <si>
    <t>Employer or business(wo)man who employs personnel</t>
  </si>
  <si>
    <t>Business(wo)man who do not employs personnel</t>
  </si>
  <si>
    <t>Member of a cooperative working at it</t>
  </si>
  <si>
    <t>Occasional or fixed wage earners</t>
  </si>
  <si>
    <t>Family help</t>
  </si>
  <si>
    <t>Economically active nor classifiable</t>
  </si>
  <si>
    <t>(1) In years previous to 1981 they appear included in different rubrics.</t>
  </si>
  <si>
    <t>Tabla 10. ECONOMICALLY ACTIVE CENSAL POPULATION</t>
  </si>
  <si>
    <t>BY SEX AND ECONOMIC SECTOR. 1900-1991</t>
  </si>
  <si>
    <t>ABSOLUTE FIGURES (Thousands) AND PER MILLE</t>
  </si>
  <si>
    <t>SECTORS</t>
  </si>
  <si>
    <t>ABSOLUTE FIGURES (thousands)</t>
  </si>
  <si>
    <t>Agriculture</t>
  </si>
  <si>
    <t>Industry</t>
  </si>
  <si>
    <t>Construction</t>
  </si>
  <si>
    <t>Services</t>
  </si>
  <si>
    <t>Activities not well especified</t>
  </si>
  <si>
    <t>Economically active population not classifiable</t>
  </si>
  <si>
    <t>In 1981 and 1991. Economically active population not classifiable are unemployed who are looking for a job for the first time.</t>
  </si>
  <si>
    <t>Tabla 11. HOUSEHOLDS BY SIZE AND COMPOSITION.</t>
  </si>
  <si>
    <t>ABSOLUTE FIGURES AND PERCENTAGES.1970-1991.</t>
  </si>
  <si>
    <t>Absolutes</t>
  </si>
  <si>
    <t>Percentages</t>
  </si>
  <si>
    <t>2-4 members.</t>
  </si>
  <si>
    <t>5 or more</t>
  </si>
  <si>
    <t>Single-member.</t>
  </si>
  <si>
    <t>Average size of the household</t>
  </si>
  <si>
    <t>HOUSEHOLDS BY NUCLEUS</t>
  </si>
  <si>
    <t>Without nucleus</t>
  </si>
  <si>
    <t>With 1 nucleus</t>
  </si>
  <si>
    <t>With 2 nucleus</t>
  </si>
  <si>
    <t>With 3 or more nucleus.</t>
  </si>
  <si>
    <t>COMPOSITION OF THE NUCLEUS</t>
  </si>
  <si>
    <t>Married couple without single children</t>
  </si>
  <si>
    <t>Married couple with single children</t>
  </si>
  <si>
    <t>Father with single children</t>
  </si>
  <si>
    <t>Mother with single children</t>
  </si>
  <si>
    <t>(1) With two or more nucleus.</t>
  </si>
  <si>
    <t>(2) It includes related and non-related persons.</t>
  </si>
  <si>
    <t>BY OCCUPATION OR PROFESSION (1950-1991)</t>
  </si>
  <si>
    <t>TABLE 12. ECONOMICALLY ACTIVE CENSAL POPULATION</t>
  </si>
  <si>
    <t>OCCUPATION OR PROFESSION</t>
  </si>
  <si>
    <t>(1) Included in the previous rubric</t>
  </si>
  <si>
    <t>Professionals, technicians and similar</t>
  </si>
  <si>
    <t>Members of the Public Administ, managers and directors</t>
  </si>
  <si>
    <t>of companies.</t>
  </si>
  <si>
    <t>Administrative personnel and similar</t>
  </si>
  <si>
    <t>Traders, sellers and similar</t>
  </si>
  <si>
    <t>Personnel of Accommodation Services,</t>
  </si>
  <si>
    <t>of protection and security, and similar.</t>
  </si>
  <si>
    <t>Personnel of agriculture, cattle, fishing,</t>
  </si>
  <si>
    <t>hunting and similar.</t>
  </si>
  <si>
    <t>Personnel with occupations not well especified</t>
  </si>
  <si>
    <t>Professional, technicians and similar from the Army</t>
  </si>
  <si>
    <t>Personnel from extractive indust, manuf, constr and transport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</si>
</sst>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%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60"/>
      <name val="Univers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sz val="14"/>
      <color indexed="16"/>
      <name val="Arial"/>
      <family val="2"/>
    </font>
    <font>
      <sz val="11"/>
      <color indexed="16"/>
      <name val="Arial"/>
      <family val="2"/>
    </font>
    <font>
      <sz val="12"/>
      <color indexed="16"/>
      <name val="Arial"/>
      <family val="2"/>
    </font>
    <font>
      <b/>
      <sz val="11"/>
      <color indexed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 quotePrefix="1">
      <alignment horizontal="center"/>
    </xf>
    <xf numFmtId="19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Alignment="1" quotePrefix="1">
      <alignment/>
    </xf>
    <xf numFmtId="0" fontId="14" fillId="0" borderId="0" xfId="0" applyFont="1" applyFill="1" applyAlignment="1">
      <alignment/>
    </xf>
    <xf numFmtId="190" fontId="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quotePrefix="1">
      <alignment horizontal="center"/>
    </xf>
    <xf numFmtId="190" fontId="9" fillId="8" borderId="0" xfId="0" applyNumberFormat="1" applyFont="1" applyFill="1" applyAlignment="1">
      <alignment/>
    </xf>
    <xf numFmtId="0" fontId="9" fillId="8" borderId="0" xfId="0" applyFont="1" applyFill="1" applyAlignment="1">
      <alignment/>
    </xf>
    <xf numFmtId="0" fontId="11" fillId="8" borderId="0" xfId="0" applyFont="1" applyFill="1" applyAlignment="1">
      <alignment horizontal="left"/>
    </xf>
    <xf numFmtId="190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0" fontId="14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1" fontId="11" fillId="2" borderId="0" xfId="0" applyNumberFormat="1" applyFont="1" applyFill="1" applyAlignment="1">
      <alignment horizontal="left"/>
    </xf>
    <xf numFmtId="1" fontId="11" fillId="2" borderId="0" xfId="0" applyNumberFormat="1" applyFont="1" applyFill="1" applyAlignment="1" quotePrefix="1">
      <alignment horizontal="left"/>
    </xf>
    <xf numFmtId="0" fontId="10" fillId="2" borderId="0" xfId="0" applyFont="1" applyFill="1" applyAlignment="1">
      <alignment horizontal="left"/>
    </xf>
    <xf numFmtId="3" fontId="10" fillId="2" borderId="0" xfId="0" applyNumberFormat="1" applyFont="1" applyFill="1" applyBorder="1" applyAlignment="1">
      <alignment/>
    </xf>
    <xf numFmtId="190" fontId="0" fillId="0" borderId="0" xfId="0" applyNumberFormat="1" applyFill="1" applyAlignment="1">
      <alignment/>
    </xf>
    <xf numFmtId="3" fontId="0" fillId="0" borderId="0" xfId="0" applyNumberFormat="1" applyFill="1" applyAlignment="1" quotePrefix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3" fillId="0" borderId="0" xfId="46" applyNumberFormat="1" applyFill="1" applyAlignment="1">
      <alignment/>
    </xf>
    <xf numFmtId="0" fontId="43" fillId="0" borderId="0" xfId="46" applyFill="1" applyAlignment="1">
      <alignment/>
    </xf>
    <xf numFmtId="3" fontId="14" fillId="2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C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140625" style="24" customWidth="1"/>
    <col min="2" max="16384" width="11.421875" style="24" customWidth="1"/>
  </cols>
  <sheetData>
    <row r="3" ht="22.5">
      <c r="B3" s="79" t="s">
        <v>9</v>
      </c>
    </row>
    <row r="5" ht="20.25">
      <c r="B5" s="80" t="s">
        <v>10</v>
      </c>
    </row>
    <row r="7" ht="18">
      <c r="B7" s="81" t="s">
        <v>11</v>
      </c>
    </row>
    <row r="9" spans="2:3" ht="12.75">
      <c r="B9" s="48" t="s">
        <v>12</v>
      </c>
      <c r="C9" s="82" t="s">
        <v>24</v>
      </c>
    </row>
    <row r="10" spans="2:3" ht="12.75">
      <c r="B10" s="48" t="s">
        <v>13</v>
      </c>
      <c r="C10" s="82" t="s">
        <v>27</v>
      </c>
    </row>
    <row r="11" spans="2:3" ht="12.75">
      <c r="B11" s="48" t="s">
        <v>14</v>
      </c>
      <c r="C11" s="82" t="s">
        <v>28</v>
      </c>
    </row>
    <row r="12" spans="2:3" ht="12.75">
      <c r="B12" s="48" t="s">
        <v>15</v>
      </c>
      <c r="C12" s="82" t="s">
        <v>26</v>
      </c>
    </row>
    <row r="13" spans="2:3" ht="12.75">
      <c r="B13" s="48" t="s">
        <v>16</v>
      </c>
      <c r="C13" s="82" t="s">
        <v>25</v>
      </c>
    </row>
    <row r="14" spans="2:3" ht="12.75">
      <c r="B14" s="48" t="s">
        <v>17</v>
      </c>
      <c r="C14" s="82" t="s">
        <v>29</v>
      </c>
    </row>
    <row r="15" spans="2:3" ht="12.75">
      <c r="B15" s="48" t="s">
        <v>18</v>
      </c>
      <c r="C15" s="82" t="s">
        <v>30</v>
      </c>
    </row>
    <row r="16" spans="2:3" ht="12.75">
      <c r="B16" s="48" t="s">
        <v>19</v>
      </c>
      <c r="C16" s="82" t="s">
        <v>31</v>
      </c>
    </row>
    <row r="17" spans="2:3" ht="12.75">
      <c r="B17" s="48" t="s">
        <v>20</v>
      </c>
      <c r="C17" s="82" t="s">
        <v>32</v>
      </c>
    </row>
    <row r="18" spans="2:3" ht="12.75">
      <c r="B18" s="48" t="s">
        <v>21</v>
      </c>
      <c r="C18" s="82" t="s">
        <v>34</v>
      </c>
    </row>
    <row r="19" spans="2:3" ht="12.75">
      <c r="B19" s="48" t="s">
        <v>22</v>
      </c>
      <c r="C19" s="82" t="s">
        <v>35</v>
      </c>
    </row>
    <row r="20" spans="2:3" ht="12.75">
      <c r="B20" s="48" t="s">
        <v>23</v>
      </c>
      <c r="C20" s="83" t="s">
        <v>33</v>
      </c>
    </row>
  </sheetData>
  <sheetProtection/>
  <hyperlinks>
    <hyperlink ref="C9" location="'Tabla 1'!A1" display="De facto population figures by sex. Non-oficial census."/>
    <hyperlink ref="C10" location="'Tabla 2'!A1" display="Censal population by sex and marital status. Absolute figures (thousands) and per thousands (1900-2001)."/>
    <hyperlink ref="C11" location="'Tabla 3'!A1" display="Population by age groups and sex. Both sexes (1900-2001)."/>
    <hyperlink ref="C12" location="'Tabla 4'!A1" display="Population by age groups and sex. Women. (1900-2001)."/>
    <hyperlink ref="C13" location="'Tabla 5'!A1" display="Population by age groups and sex. Men (1900-2001)."/>
    <hyperlink ref="C14" location="'Tabla 6'!A1" display="Municipalities and inhabitants (de facto population) by size of the municipalities (1900-2001)."/>
    <hyperlink ref="C15" location="'Tabla 7'!A1" display="Censal population of 10 and more years of age by education level and sex (1950-2001)."/>
    <hyperlink ref="C16" location="'Tabla 8'!A1" display="Performance of the population by economic activity and sex."/>
    <hyperlink ref="C17" location="'Tabla 9'!A1" display="Economically active censal population by professional status and sex (1950-2001)."/>
    <hyperlink ref="C18" location="'Tabla 10'!A1" display="Economically active censal population by sex and economic sector (1900-2001)."/>
    <hyperlink ref="C19" location="'Tabla 11'!A1" display="Households by size and composition. Absolute figures and percentages. (1970-2001)."/>
    <hyperlink ref="C20" location="'Tabla 12'!A1" display="Economically active censal population by occupation or profession (1950-2001).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35" sqref="A35:IV35"/>
    </sheetView>
  </sheetViews>
  <sheetFormatPr defaultColWidth="11.421875" defaultRowHeight="12.75"/>
  <cols>
    <col min="4" max="4" width="15.7109375" style="0" customWidth="1"/>
  </cols>
  <sheetData>
    <row r="1" spans="1:8" s="24" customFormat="1" ht="18">
      <c r="A1" s="32" t="s">
        <v>137</v>
      </c>
      <c r="B1" s="29"/>
      <c r="C1" s="29"/>
      <c r="D1" s="29"/>
      <c r="E1" s="29"/>
      <c r="F1" s="29"/>
      <c r="G1" s="29"/>
      <c r="H1" s="29"/>
    </row>
    <row r="2" spans="1:6" s="24" customFormat="1" ht="18">
      <c r="A2" s="32" t="s">
        <v>136</v>
      </c>
      <c r="B2" s="29"/>
      <c r="C2" s="29"/>
      <c r="D2" s="29"/>
      <c r="E2" s="29"/>
      <c r="F2" s="29"/>
    </row>
    <row r="3" s="26" customFormat="1" ht="15">
      <c r="A3" s="27" t="s">
        <v>138</v>
      </c>
    </row>
    <row r="4" spans="2:12" s="24" customFormat="1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0" s="60" customFormat="1" ht="15">
      <c r="A5" s="64" t="s">
        <v>139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60" customFormat="1" ht="12.75">
      <c r="A6" s="58" t="s">
        <v>140</v>
      </c>
      <c r="B6" s="58"/>
      <c r="C6" s="58"/>
      <c r="D6" s="58"/>
      <c r="E6" s="59">
        <v>1950</v>
      </c>
      <c r="F6" s="59">
        <v>1960</v>
      </c>
      <c r="G6" s="59">
        <v>1970</v>
      </c>
      <c r="H6" s="59">
        <v>1981</v>
      </c>
      <c r="I6" s="59">
        <v>1991</v>
      </c>
      <c r="J6" s="59">
        <v>2001</v>
      </c>
    </row>
    <row r="7" spans="1:11" ht="12.75">
      <c r="A7" s="3" t="s">
        <v>63</v>
      </c>
      <c r="E7" s="8">
        <v>10793.1</v>
      </c>
      <c r="F7" s="8">
        <v>11816.6</v>
      </c>
      <c r="G7" s="8">
        <v>11908.1</v>
      </c>
      <c r="H7" s="8">
        <v>12797</v>
      </c>
      <c r="I7" s="8">
        <v>15398.6</v>
      </c>
      <c r="J7" s="8">
        <v>16330</v>
      </c>
      <c r="K7" s="9"/>
    </row>
    <row r="8" spans="1:11" ht="12.75">
      <c r="A8" s="3" t="s">
        <v>142</v>
      </c>
      <c r="E8" s="6">
        <v>2228.9</v>
      </c>
      <c r="F8" s="6">
        <v>2257.9</v>
      </c>
      <c r="G8" s="6">
        <v>447.6</v>
      </c>
      <c r="H8" s="6">
        <v>455.9</v>
      </c>
      <c r="I8" s="6">
        <v>684.5</v>
      </c>
      <c r="J8" s="6">
        <v>1055</v>
      </c>
      <c r="K8" s="9"/>
    </row>
    <row r="9" spans="1:11" ht="12.75">
      <c r="A9" s="3" t="s">
        <v>143</v>
      </c>
      <c r="E9" s="6">
        <v>140.3</v>
      </c>
      <c r="F9" s="6">
        <v>205.9</v>
      </c>
      <c r="G9" s="6">
        <v>1798.8</v>
      </c>
      <c r="H9" s="6">
        <v>1637.4</v>
      </c>
      <c r="I9" s="6">
        <v>1766.1</v>
      </c>
      <c r="J9" s="6">
        <v>1700</v>
      </c>
      <c r="K9" s="9"/>
    </row>
    <row r="10" spans="1:11" ht="12.75">
      <c r="A10" s="3" t="s">
        <v>144</v>
      </c>
      <c r="E10" s="12" t="s">
        <v>6</v>
      </c>
      <c r="F10" s="12" t="s">
        <v>6</v>
      </c>
      <c r="G10" s="12" t="s">
        <v>6</v>
      </c>
      <c r="H10" s="6">
        <v>168</v>
      </c>
      <c r="I10" s="6">
        <v>138.8</v>
      </c>
      <c r="J10" s="6">
        <v>70</v>
      </c>
      <c r="K10" s="9"/>
    </row>
    <row r="11" spans="1:11" ht="12.75">
      <c r="A11" s="3" t="s">
        <v>145</v>
      </c>
      <c r="E11" s="6">
        <v>7095.3</v>
      </c>
      <c r="F11" s="6">
        <v>7524.8</v>
      </c>
      <c r="G11" s="6">
        <v>8756.9</v>
      </c>
      <c r="H11" s="6">
        <v>8785.9</v>
      </c>
      <c r="I11" s="6">
        <v>11470.9</v>
      </c>
      <c r="J11" s="6">
        <v>13134</v>
      </c>
      <c r="K11" s="9"/>
    </row>
    <row r="12" spans="1:11" ht="12.75">
      <c r="A12" s="3" t="s">
        <v>146</v>
      </c>
      <c r="E12" s="6">
        <v>1195.7</v>
      </c>
      <c r="F12" s="6">
        <v>1269.1</v>
      </c>
      <c r="G12" s="6">
        <v>746.9</v>
      </c>
      <c r="H12" s="6">
        <v>492.3</v>
      </c>
      <c r="I12" s="6">
        <v>182.8</v>
      </c>
      <c r="J12" s="6">
        <v>70</v>
      </c>
      <c r="K12" s="9"/>
    </row>
    <row r="13" spans="1:11" ht="12.75">
      <c r="A13" s="3" t="s">
        <v>141</v>
      </c>
      <c r="E13" s="6">
        <v>132.9</v>
      </c>
      <c r="F13" s="6">
        <v>558.9</v>
      </c>
      <c r="G13" s="6">
        <v>157.9</v>
      </c>
      <c r="H13" s="6">
        <v>455.6</v>
      </c>
      <c r="I13" s="6">
        <v>271.1</v>
      </c>
      <c r="J13" s="12" t="s">
        <v>5</v>
      </c>
      <c r="K13" s="9"/>
    </row>
    <row r="14" spans="1:11" ht="12.75">
      <c r="A14" s="3" t="s">
        <v>147</v>
      </c>
      <c r="D14" s="1"/>
      <c r="E14" s="12" t="s">
        <v>5</v>
      </c>
      <c r="F14" s="12" t="s">
        <v>5</v>
      </c>
      <c r="G14" s="12" t="s">
        <v>5</v>
      </c>
      <c r="H14" s="6">
        <v>801.9</v>
      </c>
      <c r="I14" s="6">
        <v>884.4</v>
      </c>
      <c r="J14" s="12" t="s">
        <v>5</v>
      </c>
      <c r="K14" s="9"/>
    </row>
    <row r="15" spans="1:11" ht="12.75">
      <c r="A15" s="3"/>
      <c r="D15" s="1"/>
      <c r="E15" s="12"/>
      <c r="F15" s="12"/>
      <c r="G15" s="12"/>
      <c r="H15" s="6"/>
      <c r="I15" s="6"/>
      <c r="J15" s="6"/>
      <c r="K15" s="9"/>
    </row>
    <row r="16" spans="1:11" ht="12.75">
      <c r="A16" s="3" t="s">
        <v>39</v>
      </c>
      <c r="E16" s="6">
        <f>SUM(E17:E22)</f>
        <v>9084.3</v>
      </c>
      <c r="F16" s="6">
        <f>SUM(F17:F22)</f>
        <v>9436.8</v>
      </c>
      <c r="G16" s="6">
        <f>SUM(G17:G22)</f>
        <v>9574.099999999999</v>
      </c>
      <c r="H16" s="6">
        <f>SUM(H17:H23)</f>
        <v>9628.900000000001</v>
      </c>
      <c r="I16" s="6">
        <f>SUM(I17:I23)</f>
        <v>10131.900000000001</v>
      </c>
      <c r="J16" s="6">
        <v>10089</v>
      </c>
      <c r="K16" s="9"/>
    </row>
    <row r="17" spans="1:11" ht="12.75">
      <c r="A17" s="3" t="s">
        <v>142</v>
      </c>
      <c r="E17" s="6">
        <v>1993.6</v>
      </c>
      <c r="F17" s="6">
        <v>2026.2</v>
      </c>
      <c r="G17" s="6">
        <v>401.4</v>
      </c>
      <c r="H17" s="6">
        <v>393.4</v>
      </c>
      <c r="I17" s="6">
        <v>554.1</v>
      </c>
      <c r="J17" s="6">
        <v>794</v>
      </c>
      <c r="K17" s="9"/>
    </row>
    <row r="18" spans="1:11" ht="12.75">
      <c r="A18" s="3" t="s">
        <v>143</v>
      </c>
      <c r="E18" s="6">
        <v>105</v>
      </c>
      <c r="F18" s="6">
        <v>167.2</v>
      </c>
      <c r="G18" s="6">
        <v>1595.8</v>
      </c>
      <c r="H18" s="6">
        <v>1385</v>
      </c>
      <c r="I18" s="6">
        <v>1281.5</v>
      </c>
      <c r="J18" s="6">
        <v>1158</v>
      </c>
      <c r="K18" s="9"/>
    </row>
    <row r="19" spans="1:11" ht="12.75">
      <c r="A19" s="3" t="s">
        <v>144</v>
      </c>
      <c r="E19" s="12" t="s">
        <v>6</v>
      </c>
      <c r="F19" s="12" t="s">
        <v>6</v>
      </c>
      <c r="G19" s="12" t="s">
        <v>6</v>
      </c>
      <c r="H19" s="6">
        <v>128.5</v>
      </c>
      <c r="I19" s="6">
        <v>101.1</v>
      </c>
      <c r="J19" s="6">
        <v>45</v>
      </c>
      <c r="K19" s="9"/>
    </row>
    <row r="20" spans="1:11" ht="12.75">
      <c r="A20" s="3" t="s">
        <v>145</v>
      </c>
      <c r="E20" s="6">
        <v>5885.3</v>
      </c>
      <c r="F20" s="6">
        <v>6140</v>
      </c>
      <c r="G20" s="6">
        <v>6962.8</v>
      </c>
      <c r="H20" s="6">
        <v>6706.8</v>
      </c>
      <c r="I20" s="6">
        <v>7596.5</v>
      </c>
      <c r="J20" s="6">
        <v>8063</v>
      </c>
      <c r="K20" s="9"/>
    </row>
    <row r="21" spans="1:11" ht="12.75">
      <c r="A21" s="3" t="s">
        <v>146</v>
      </c>
      <c r="E21" s="6">
        <v>997</v>
      </c>
      <c r="F21" s="6">
        <v>908.1</v>
      </c>
      <c r="G21" s="6">
        <v>512.8</v>
      </c>
      <c r="H21" s="6">
        <v>278.2</v>
      </c>
      <c r="I21" s="6">
        <v>86.5</v>
      </c>
      <c r="J21" s="6">
        <v>30</v>
      </c>
      <c r="K21" s="9"/>
    </row>
    <row r="22" spans="1:11" ht="12.75">
      <c r="A22" s="3" t="s">
        <v>141</v>
      </c>
      <c r="E22" s="6">
        <v>103.4</v>
      </c>
      <c r="F22" s="6">
        <v>195.3</v>
      </c>
      <c r="G22" s="6">
        <v>101.3</v>
      </c>
      <c r="H22" s="6">
        <v>324.2</v>
      </c>
      <c r="I22" s="6">
        <v>127.5</v>
      </c>
      <c r="J22" s="12" t="s">
        <v>5</v>
      </c>
      <c r="K22" s="9"/>
    </row>
    <row r="23" spans="1:11" ht="12.75">
      <c r="A23" s="3" t="s">
        <v>147</v>
      </c>
      <c r="E23" s="12" t="s">
        <v>5</v>
      </c>
      <c r="F23" s="12" t="s">
        <v>5</v>
      </c>
      <c r="G23" s="12" t="s">
        <v>5</v>
      </c>
      <c r="H23" s="6">
        <v>412.8</v>
      </c>
      <c r="I23" s="6">
        <v>384.7</v>
      </c>
      <c r="J23" s="12" t="s">
        <v>5</v>
      </c>
      <c r="K23" s="9"/>
    </row>
    <row r="24" spans="1:11" ht="12.75">
      <c r="A24" s="3"/>
      <c r="E24" s="12"/>
      <c r="F24" s="12"/>
      <c r="G24" s="12"/>
      <c r="H24" s="6"/>
      <c r="I24" s="6"/>
      <c r="J24" s="6"/>
      <c r="K24" s="9"/>
    </row>
    <row r="25" spans="1:11" ht="12.75">
      <c r="A25" s="3" t="s">
        <v>40</v>
      </c>
      <c r="E25" s="6">
        <f>SUM(E26:E32)</f>
        <v>1708.8000000000002</v>
      </c>
      <c r="F25" s="6">
        <f>SUM(F26:F32)</f>
        <v>2379.8</v>
      </c>
      <c r="G25" s="6">
        <f>SUM(G26:G32)</f>
        <v>2333.9999999999995</v>
      </c>
      <c r="H25" s="6">
        <f>SUM(H26:H32)</f>
        <v>3168.0999999999995</v>
      </c>
      <c r="I25" s="6">
        <f>SUM(I26:I32)</f>
        <v>5266.7</v>
      </c>
      <c r="J25" s="6">
        <v>6240</v>
      </c>
      <c r="K25" s="9"/>
    </row>
    <row r="26" spans="1:11" ht="12.75">
      <c r="A26" s="3" t="s">
        <v>142</v>
      </c>
      <c r="E26" s="6">
        <f aca="true" t="shared" si="0" ref="E26:I27">E8-E17</f>
        <v>235.30000000000018</v>
      </c>
      <c r="F26" s="6">
        <f t="shared" si="0"/>
        <v>231.70000000000005</v>
      </c>
      <c r="G26" s="6">
        <f t="shared" si="0"/>
        <v>46.200000000000045</v>
      </c>
      <c r="H26" s="6">
        <f t="shared" si="0"/>
        <v>62.5</v>
      </c>
      <c r="I26" s="6">
        <f t="shared" si="0"/>
        <v>130.39999999999998</v>
      </c>
      <c r="J26" s="6">
        <v>261</v>
      </c>
      <c r="K26" s="9"/>
    </row>
    <row r="27" spans="1:11" ht="12.75">
      <c r="A27" s="3" t="s">
        <v>143</v>
      </c>
      <c r="E27" s="6">
        <f t="shared" si="0"/>
        <v>35.30000000000001</v>
      </c>
      <c r="F27" s="6">
        <f t="shared" si="0"/>
        <v>38.70000000000002</v>
      </c>
      <c r="G27" s="6">
        <f t="shared" si="0"/>
        <v>203</v>
      </c>
      <c r="H27" s="6">
        <f t="shared" si="0"/>
        <v>252.4000000000001</v>
      </c>
      <c r="I27" s="6">
        <f t="shared" si="0"/>
        <v>484.5999999999999</v>
      </c>
      <c r="J27" s="6">
        <v>542</v>
      </c>
      <c r="K27" s="9"/>
    </row>
    <row r="28" spans="1:11" ht="12.75">
      <c r="A28" s="3" t="s">
        <v>144</v>
      </c>
      <c r="E28" s="12" t="s">
        <v>6</v>
      </c>
      <c r="F28" s="12" t="s">
        <v>6</v>
      </c>
      <c r="G28" s="12" t="s">
        <v>6</v>
      </c>
      <c r="H28" s="6">
        <f aca="true" t="shared" si="1" ref="H28:I32">H10-H19</f>
        <v>39.5</v>
      </c>
      <c r="I28" s="6">
        <f t="shared" si="1"/>
        <v>37.70000000000002</v>
      </c>
      <c r="J28" s="6">
        <v>25</v>
      </c>
      <c r="K28" s="9"/>
    </row>
    <row r="29" spans="1:11" ht="12.75">
      <c r="A29" s="3" t="s">
        <v>145</v>
      </c>
      <c r="E29" s="6">
        <f aca="true" t="shared" si="2" ref="E29:G31">E11-E20</f>
        <v>1210</v>
      </c>
      <c r="F29" s="6">
        <f t="shared" si="2"/>
        <v>1384.8000000000002</v>
      </c>
      <c r="G29" s="6">
        <f t="shared" si="2"/>
        <v>1794.0999999999995</v>
      </c>
      <c r="H29" s="6">
        <f t="shared" si="1"/>
        <v>2079.0999999999995</v>
      </c>
      <c r="I29" s="6">
        <f t="shared" si="1"/>
        <v>3874.3999999999996</v>
      </c>
      <c r="J29" s="6">
        <v>5372</v>
      </c>
      <c r="K29" s="9"/>
    </row>
    <row r="30" spans="1:11" ht="12.75">
      <c r="A30" s="3" t="s">
        <v>146</v>
      </c>
      <c r="E30" s="6">
        <f t="shared" si="2"/>
        <v>198.70000000000005</v>
      </c>
      <c r="F30" s="6">
        <f t="shared" si="2"/>
        <v>360.9999999999999</v>
      </c>
      <c r="G30" s="6">
        <f t="shared" si="2"/>
        <v>234.10000000000002</v>
      </c>
      <c r="H30" s="6">
        <f t="shared" si="1"/>
        <v>214.10000000000002</v>
      </c>
      <c r="I30" s="6">
        <f t="shared" si="1"/>
        <v>96.30000000000001</v>
      </c>
      <c r="J30" s="6">
        <v>41</v>
      </c>
      <c r="K30" s="9"/>
    </row>
    <row r="31" spans="1:11" ht="12.75">
      <c r="A31" s="3" t="s">
        <v>141</v>
      </c>
      <c r="E31" s="6">
        <f t="shared" si="2"/>
        <v>29.5</v>
      </c>
      <c r="F31" s="6">
        <f t="shared" si="2"/>
        <v>363.59999999999997</v>
      </c>
      <c r="G31" s="6">
        <f t="shared" si="2"/>
        <v>56.60000000000001</v>
      </c>
      <c r="H31" s="6">
        <f t="shared" si="1"/>
        <v>131.40000000000003</v>
      </c>
      <c r="I31" s="6">
        <f t="shared" si="1"/>
        <v>143.60000000000002</v>
      </c>
      <c r="J31" s="12" t="s">
        <v>5</v>
      </c>
      <c r="K31" s="9"/>
    </row>
    <row r="32" spans="1:11" ht="12.75">
      <c r="A32" s="3" t="s">
        <v>147</v>
      </c>
      <c r="E32" s="12" t="s">
        <v>5</v>
      </c>
      <c r="F32" s="12" t="s">
        <v>5</v>
      </c>
      <c r="G32" s="12" t="s">
        <v>5</v>
      </c>
      <c r="H32" s="6">
        <f t="shared" si="1"/>
        <v>389.09999999999997</v>
      </c>
      <c r="I32" s="6">
        <f t="shared" si="1"/>
        <v>499.7</v>
      </c>
      <c r="J32" s="12" t="s">
        <v>5</v>
      </c>
      <c r="K32" s="9"/>
    </row>
    <row r="33" spans="1:11" ht="12.75">
      <c r="A33" s="3"/>
      <c r="E33" s="12"/>
      <c r="F33" s="12"/>
      <c r="G33" s="12"/>
      <c r="H33" s="6"/>
      <c r="I33" s="6"/>
      <c r="J33" s="9"/>
      <c r="K33" s="9"/>
    </row>
    <row r="34" spans="5:11" ht="12.75">
      <c r="E34" s="13"/>
      <c r="F34" s="13"/>
      <c r="G34" s="13"/>
      <c r="H34" s="9"/>
      <c r="I34" s="9"/>
      <c r="J34" s="9"/>
      <c r="K34" s="9"/>
    </row>
    <row r="35" spans="1:11" s="57" customFormat="1" ht="12.75">
      <c r="A35" s="53" t="s">
        <v>2</v>
      </c>
      <c r="B35" s="54"/>
      <c r="C35" s="54"/>
      <c r="D35" s="54"/>
      <c r="E35" s="55">
        <v>1950</v>
      </c>
      <c r="F35" s="55">
        <v>1960</v>
      </c>
      <c r="G35" s="55">
        <v>1970</v>
      </c>
      <c r="H35" s="55">
        <v>1981</v>
      </c>
      <c r="I35" s="55">
        <v>1991</v>
      </c>
      <c r="J35" s="55">
        <v>2001</v>
      </c>
      <c r="K35" s="56"/>
    </row>
    <row r="36" spans="1:11" ht="12.75">
      <c r="A36" s="3" t="s">
        <v>63</v>
      </c>
      <c r="E36" s="9"/>
      <c r="F36" s="9"/>
      <c r="G36" s="9"/>
      <c r="H36" s="9"/>
      <c r="I36" s="9"/>
      <c r="J36" s="9"/>
      <c r="K36" s="9"/>
    </row>
    <row r="37" spans="1:11" ht="12.75">
      <c r="A37" s="3" t="s">
        <v>142</v>
      </c>
      <c r="E37" s="9">
        <f>(E8/E7)*1000</f>
        <v>206.5115675755807</v>
      </c>
      <c r="F37" s="9">
        <f aca="true" t="shared" si="3" ref="F37:I38">(F8/F$7)*1000</f>
        <v>191.07865206573805</v>
      </c>
      <c r="G37" s="9">
        <f t="shared" si="3"/>
        <v>37.58786036395395</v>
      </c>
      <c r="H37" s="9">
        <f t="shared" si="3"/>
        <v>35.625537235289514</v>
      </c>
      <c r="I37" s="9">
        <f>(I8/I$7)*1000</f>
        <v>44.45209304741989</v>
      </c>
      <c r="J37" s="9">
        <f>(J8/J$7)*1000</f>
        <v>64.60502143294549</v>
      </c>
      <c r="K37" s="9"/>
    </row>
    <row r="38" spans="1:11" ht="12.75">
      <c r="A38" s="3" t="s">
        <v>143</v>
      </c>
      <c r="E38" s="9">
        <f>(E9/E7)*1000</f>
        <v>12.999045686596068</v>
      </c>
      <c r="F38" s="9">
        <f t="shared" si="3"/>
        <v>17.424639913342247</v>
      </c>
      <c r="G38" s="9">
        <f t="shared" si="3"/>
        <v>151.05684366103745</v>
      </c>
      <c r="H38" s="9">
        <v>127.9</v>
      </c>
      <c r="I38" s="9">
        <f t="shared" si="3"/>
        <v>114.69224474952267</v>
      </c>
      <c r="J38" s="9">
        <f>(J9/J$7)*1000</f>
        <v>104.1028781383956</v>
      </c>
      <c r="K38" s="9"/>
    </row>
    <row r="39" spans="1:11" ht="12.75">
      <c r="A39" s="3" t="s">
        <v>144</v>
      </c>
      <c r="E39" s="13" t="s">
        <v>5</v>
      </c>
      <c r="F39" s="13" t="s">
        <v>5</v>
      </c>
      <c r="G39" s="13" t="s">
        <v>5</v>
      </c>
      <c r="H39" s="9">
        <v>13.1</v>
      </c>
      <c r="I39" s="9">
        <f>(I10/I$7)*1000</f>
        <v>9.013806449937007</v>
      </c>
      <c r="J39" s="9">
        <f>(J10/J$7)*1000</f>
        <v>4.28658909981629</v>
      </c>
      <c r="K39" s="9"/>
    </row>
    <row r="40" spans="1:11" ht="12.75">
      <c r="A40" s="3" t="s">
        <v>145</v>
      </c>
      <c r="E40" s="9">
        <f aca="true" t="shared" si="4" ref="E40:H42">(E11/E$7)*1000</f>
        <v>657.3922228090169</v>
      </c>
      <c r="F40" s="9">
        <f t="shared" si="4"/>
        <v>636.799079261378</v>
      </c>
      <c r="G40" s="9">
        <f t="shared" si="4"/>
        <v>735.3734012982759</v>
      </c>
      <c r="H40" s="9">
        <f t="shared" si="4"/>
        <v>686.5593498476204</v>
      </c>
      <c r="I40" s="9">
        <f>(I11/I$7)*1000</f>
        <v>744.9313573961269</v>
      </c>
      <c r="J40" s="9">
        <f>(J11/J$7)*1000</f>
        <v>804.2865890998163</v>
      </c>
      <c r="K40" s="9"/>
    </row>
    <row r="41" spans="1:11" ht="12.75">
      <c r="A41" s="3" t="s">
        <v>146</v>
      </c>
      <c r="E41" s="9">
        <f t="shared" si="4"/>
        <v>110.78374146445415</v>
      </c>
      <c r="F41" s="9">
        <f t="shared" si="4"/>
        <v>107.39975966013913</v>
      </c>
      <c r="G41" s="9">
        <f t="shared" si="4"/>
        <v>62.72201274762557</v>
      </c>
      <c r="H41" s="9">
        <f t="shared" si="4"/>
        <v>38.46995389544425</v>
      </c>
      <c r="I41" s="9">
        <f>(I12/I$7)*1000</f>
        <v>11.871209070954503</v>
      </c>
      <c r="J41" s="9">
        <f>(J12/J$7)*1000</f>
        <v>4.28658909981629</v>
      </c>
      <c r="K41" s="9"/>
    </row>
    <row r="42" spans="1:11" ht="12.75">
      <c r="A42" s="3" t="s">
        <v>141</v>
      </c>
      <c r="E42" s="9">
        <f t="shared" si="4"/>
        <v>12.313422464352223</v>
      </c>
      <c r="F42" s="9">
        <f t="shared" si="4"/>
        <v>47.29786909940253</v>
      </c>
      <c r="G42" s="9">
        <f t="shared" si="4"/>
        <v>13.25988192910708</v>
      </c>
      <c r="H42" s="9">
        <f t="shared" si="4"/>
        <v>35.6020942408377</v>
      </c>
      <c r="I42" s="9">
        <f>(I13/I$7)*1000</f>
        <v>17.60549660358734</v>
      </c>
      <c r="J42" s="13" t="s">
        <v>5</v>
      </c>
      <c r="K42" s="9"/>
    </row>
    <row r="43" spans="1:11" ht="12.75">
      <c r="A43" s="3" t="s">
        <v>147</v>
      </c>
      <c r="E43" s="13" t="s">
        <v>5</v>
      </c>
      <c r="F43" s="13" t="s">
        <v>5</v>
      </c>
      <c r="G43" s="13" t="s">
        <v>5</v>
      </c>
      <c r="H43" s="9">
        <f>(H14/H$7)*1000</f>
        <v>62.663124169727276</v>
      </c>
      <c r="I43" s="9">
        <f>(I14/I$7)*1000</f>
        <v>57.433792682451646</v>
      </c>
      <c r="J43" s="13" t="s">
        <v>5</v>
      </c>
      <c r="K43" s="9"/>
    </row>
    <row r="44" spans="1:11" ht="12.75">
      <c r="A44" s="3"/>
      <c r="E44" s="13"/>
      <c r="F44" s="13"/>
      <c r="G44" s="13"/>
      <c r="H44" s="9"/>
      <c r="I44" s="9"/>
      <c r="J44" s="9"/>
      <c r="K44" s="9"/>
    </row>
    <row r="45" spans="1:11" ht="12.75">
      <c r="A45" s="3" t="s">
        <v>39</v>
      </c>
      <c r="E45" s="9"/>
      <c r="F45" s="9"/>
      <c r="G45" s="9"/>
      <c r="H45" s="9"/>
      <c r="I45" s="9"/>
      <c r="J45" s="9"/>
      <c r="K45" s="9"/>
    </row>
    <row r="46" spans="1:11" ht="12.75">
      <c r="A46" s="3" t="s">
        <v>142</v>
      </c>
      <c r="E46" s="9">
        <f aca="true" t="shared" si="5" ref="E46:F51">(E17/E$16)*1000</f>
        <v>219.45554418061934</v>
      </c>
      <c r="F46" s="9">
        <f t="shared" si="5"/>
        <v>214.7126144455748</v>
      </c>
      <c r="G46" s="9">
        <f>(G17/G$16)*1000</f>
        <v>41.92561180685391</v>
      </c>
      <c r="H46" s="9">
        <f>(H17/H$16)*1000</f>
        <v>40.856172563844254</v>
      </c>
      <c r="I46" s="9">
        <f>(I17/I$16)*1000</f>
        <v>54.68865661919284</v>
      </c>
      <c r="J46" s="9">
        <f>(J17/J$16)*1000</f>
        <v>78.69957379324016</v>
      </c>
      <c r="K46" s="9"/>
    </row>
    <row r="47" spans="1:11" ht="12.75">
      <c r="A47" s="3" t="s">
        <v>143</v>
      </c>
      <c r="E47" s="9">
        <f t="shared" si="5"/>
        <v>11.55840295895116</v>
      </c>
      <c r="F47" s="9">
        <f t="shared" si="5"/>
        <v>17.71787046456426</v>
      </c>
      <c r="G47" s="9">
        <v>166.7</v>
      </c>
      <c r="H47" s="9">
        <f aca="true" t="shared" si="6" ref="H47:I52">(H18/H$16)*1000</f>
        <v>143.83782155801802</v>
      </c>
      <c r="I47" s="9">
        <f t="shared" si="6"/>
        <v>126.48170629398237</v>
      </c>
      <c r="J47" s="9">
        <f>(J18/J$16)*1000</f>
        <v>114.77847160273565</v>
      </c>
      <c r="K47" s="9"/>
    </row>
    <row r="48" spans="1:11" ht="12.75">
      <c r="A48" s="3" t="s">
        <v>144</v>
      </c>
      <c r="E48" s="13" t="s">
        <v>5</v>
      </c>
      <c r="F48" s="13" t="s">
        <v>5</v>
      </c>
      <c r="G48" s="13" t="s">
        <v>5</v>
      </c>
      <c r="H48" s="9">
        <f t="shared" si="6"/>
        <v>13.345241927946077</v>
      </c>
      <c r="I48" s="9">
        <f t="shared" si="6"/>
        <v>9.978385100524084</v>
      </c>
      <c r="J48" s="9">
        <f>(J19/J$16)*1000</f>
        <v>4.460303300624442</v>
      </c>
      <c r="K48" s="9"/>
    </row>
    <row r="49" spans="1:11" ht="12.75">
      <c r="A49" s="3" t="s">
        <v>145</v>
      </c>
      <c r="E49" s="9">
        <f t="shared" si="5"/>
        <v>647.8539898506215</v>
      </c>
      <c r="F49" s="9">
        <f t="shared" si="5"/>
        <v>650.6442861987115</v>
      </c>
      <c r="G49" s="9">
        <f>(G20/G$16)*1000</f>
        <v>727.2537366436534</v>
      </c>
      <c r="H49" s="9">
        <f t="shared" si="6"/>
        <v>696.5281600182782</v>
      </c>
      <c r="I49" s="9">
        <f t="shared" si="6"/>
        <v>749.7606569350269</v>
      </c>
      <c r="J49" s="9">
        <f>(J20/J$16)*1000</f>
        <v>799.1872336207751</v>
      </c>
      <c r="K49" s="9"/>
    </row>
    <row r="50" spans="1:11" ht="12.75">
      <c r="A50" s="3" t="s">
        <v>146</v>
      </c>
      <c r="E50" s="9">
        <f t="shared" si="5"/>
        <v>109.74978809594576</v>
      </c>
      <c r="F50" s="9">
        <f t="shared" si="5"/>
        <v>96.22965412004069</v>
      </c>
      <c r="G50" s="9">
        <f>(G21/G$16)*1000</f>
        <v>53.561170240544804</v>
      </c>
      <c r="H50" s="9">
        <f t="shared" si="6"/>
        <v>28.89218913894629</v>
      </c>
      <c r="I50" s="9">
        <f t="shared" si="6"/>
        <v>8.537391802129905</v>
      </c>
      <c r="J50" s="9">
        <f>(J21/J$16)*1000</f>
        <v>2.9735355337496285</v>
      </c>
      <c r="K50" s="9"/>
    </row>
    <row r="51" spans="1:11" ht="12.75">
      <c r="A51" s="3" t="s">
        <v>141</v>
      </c>
      <c r="E51" s="9">
        <f t="shared" si="5"/>
        <v>11.38227491386238</v>
      </c>
      <c r="F51" s="9">
        <f t="shared" si="5"/>
        <v>20.695574771108852</v>
      </c>
      <c r="G51" s="9">
        <f>(G22/G$16)*1000</f>
        <v>10.580628988625563</v>
      </c>
      <c r="H51" s="9">
        <f t="shared" si="6"/>
        <v>33.669474187082635</v>
      </c>
      <c r="I51" s="9">
        <f t="shared" si="6"/>
        <v>12.584016818168358</v>
      </c>
      <c r="J51" s="13" t="s">
        <v>5</v>
      </c>
      <c r="K51" s="9"/>
    </row>
    <row r="52" spans="1:11" ht="12.75">
      <c r="A52" s="3" t="s">
        <v>147</v>
      </c>
      <c r="E52" s="13" t="s">
        <v>5</v>
      </c>
      <c r="F52" s="13" t="s">
        <v>5</v>
      </c>
      <c r="G52" s="13" t="s">
        <v>5</v>
      </c>
      <c r="H52" s="9">
        <f t="shared" si="6"/>
        <v>42.870940605884364</v>
      </c>
      <c r="I52" s="9">
        <f t="shared" si="6"/>
        <v>37.96918643097543</v>
      </c>
      <c r="J52" s="13" t="s">
        <v>5</v>
      </c>
      <c r="K52" s="9"/>
    </row>
    <row r="53" spans="1:11" ht="12.75">
      <c r="A53" s="3"/>
      <c r="E53" s="13"/>
      <c r="F53" s="13"/>
      <c r="G53" s="13"/>
      <c r="H53" s="9"/>
      <c r="I53" s="9"/>
      <c r="J53" s="9"/>
      <c r="K53" s="9"/>
    </row>
    <row r="54" spans="1:11" ht="12.75">
      <c r="A54" s="3" t="s">
        <v>40</v>
      </c>
      <c r="E54" s="9"/>
      <c r="F54" s="9"/>
      <c r="G54" s="9"/>
      <c r="H54" s="9"/>
      <c r="I54" s="9"/>
      <c r="J54" s="9"/>
      <c r="K54" s="9"/>
    </row>
    <row r="55" spans="1:11" ht="12.75">
      <c r="A55" s="3" t="s">
        <v>142</v>
      </c>
      <c r="E55" s="9">
        <f>(E26/E$25)*1000</f>
        <v>137.69897003745328</v>
      </c>
      <c r="F55" s="9">
        <f>(F26/F$25)*1000</f>
        <v>97.36112278342719</v>
      </c>
      <c r="G55" s="9">
        <f>(G26/G$25)*1000</f>
        <v>19.794344473007737</v>
      </c>
      <c r="H55" s="9">
        <f>(H26/$J$25)*1000</f>
        <v>10.016025641025642</v>
      </c>
      <c r="I55" s="9">
        <f>(I26/$J$25)*1000</f>
        <v>20.897435897435894</v>
      </c>
      <c r="J55" s="9">
        <f>(J26/$J$25)*1000</f>
        <v>41.82692307692307</v>
      </c>
      <c r="K55" s="9"/>
    </row>
    <row r="56" spans="1:11" ht="12.75">
      <c r="A56" s="3" t="s">
        <v>143</v>
      </c>
      <c r="E56" s="9">
        <f aca="true" t="shared" si="7" ref="E56:I61">(E27/E$25)*1000</f>
        <v>20.65777153558053</v>
      </c>
      <c r="F56" s="9">
        <f>(F27/F$25)*1000</f>
        <v>16.2618707454408</v>
      </c>
      <c r="G56" s="9">
        <f>(G25/G$16)*1000</f>
        <v>243.7827054240085</v>
      </c>
      <c r="H56" s="9">
        <f aca="true" t="shared" si="8" ref="H56:J57">(H27/H$25)*1000</f>
        <v>79.66920236103662</v>
      </c>
      <c r="I56" s="9">
        <f t="shared" si="8"/>
        <v>92.0120758729375</v>
      </c>
      <c r="J56" s="9">
        <f t="shared" si="8"/>
        <v>86.85897435897435</v>
      </c>
      <c r="K56" s="9"/>
    </row>
    <row r="57" spans="1:11" ht="12.75">
      <c r="A57" s="3" t="s">
        <v>144</v>
      </c>
      <c r="E57" s="13" t="s">
        <v>6</v>
      </c>
      <c r="F57" s="13" t="s">
        <v>6</v>
      </c>
      <c r="G57" s="13" t="s">
        <v>6</v>
      </c>
      <c r="H57" s="9">
        <f t="shared" si="8"/>
        <v>12.46804078154099</v>
      </c>
      <c r="I57" s="9">
        <f t="shared" si="8"/>
        <v>7.158182543148465</v>
      </c>
      <c r="J57" s="9">
        <f t="shared" si="8"/>
        <v>4.006410256410256</v>
      </c>
      <c r="K57" s="9"/>
    </row>
    <row r="58" spans="1:11" ht="12.75">
      <c r="A58" s="3" t="s">
        <v>145</v>
      </c>
      <c r="E58" s="9">
        <f t="shared" si="7"/>
        <v>708.0992509363296</v>
      </c>
      <c r="F58" s="9">
        <f t="shared" si="7"/>
        <v>581.8976384570133</v>
      </c>
      <c r="G58" s="9">
        <f t="shared" si="7"/>
        <v>768.6803770351327</v>
      </c>
      <c r="H58" s="9">
        <f t="shared" si="7"/>
        <v>656.2608503519459</v>
      </c>
      <c r="I58" s="9">
        <f t="shared" si="7"/>
        <v>735.6409136651033</v>
      </c>
      <c r="J58" s="9">
        <f>(J29/J$25)*1000</f>
        <v>860.8974358974359</v>
      </c>
      <c r="K58" s="9"/>
    </row>
    <row r="59" spans="1:11" ht="12.75">
      <c r="A59" s="3" t="s">
        <v>146</v>
      </c>
      <c r="E59" s="9">
        <f t="shared" si="7"/>
        <v>116.28043071161049</v>
      </c>
      <c r="F59" s="9">
        <f t="shared" si="7"/>
        <v>151.69341961509363</v>
      </c>
      <c r="G59" s="9">
        <f t="shared" si="7"/>
        <v>100.29991431019712</v>
      </c>
      <c r="H59" s="9">
        <f t="shared" si="7"/>
        <v>67.57993750197281</v>
      </c>
      <c r="I59" s="9">
        <f t="shared" si="7"/>
        <v>18.284694400668354</v>
      </c>
      <c r="J59" s="9">
        <f>(J30/J$25)*1000</f>
        <v>6.57051282051282</v>
      </c>
      <c r="K59" s="9"/>
    </row>
    <row r="60" spans="1:11" ht="12.75">
      <c r="A60" s="3" t="s">
        <v>141</v>
      </c>
      <c r="E60" s="9">
        <f t="shared" si="7"/>
        <v>17.263576779026213</v>
      </c>
      <c r="F60" s="9">
        <f t="shared" si="7"/>
        <v>152.7859483990251</v>
      </c>
      <c r="G60" s="9">
        <f t="shared" si="7"/>
        <v>24.25021422450729</v>
      </c>
      <c r="H60" s="9">
        <f t="shared" si="7"/>
        <v>41.47596351125282</v>
      </c>
      <c r="I60" s="9">
        <f t="shared" si="7"/>
        <v>27.265650217403692</v>
      </c>
      <c r="J60" s="13" t="s">
        <v>5</v>
      </c>
      <c r="K60" s="9"/>
    </row>
    <row r="61" spans="1:11" ht="12.75">
      <c r="A61" s="3" t="s">
        <v>147</v>
      </c>
      <c r="E61" s="13" t="s">
        <v>5</v>
      </c>
      <c r="F61" s="10" t="s">
        <v>5</v>
      </c>
      <c r="G61" s="13" t="s">
        <v>5</v>
      </c>
      <c r="H61" s="9">
        <f t="shared" si="7"/>
        <v>122.81809286323033</v>
      </c>
      <c r="I61" s="9">
        <f t="shared" si="7"/>
        <v>94.87914633451688</v>
      </c>
      <c r="J61" s="13" t="s">
        <v>5</v>
      </c>
      <c r="K61" s="9"/>
    </row>
    <row r="62" spans="1:11" ht="12.75">
      <c r="A62" t="s">
        <v>148</v>
      </c>
      <c r="E62" s="9"/>
      <c r="F62" s="9"/>
      <c r="G62" s="9"/>
      <c r="H62" s="9"/>
      <c r="I62" s="9"/>
      <c r="J62" s="9"/>
      <c r="K62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33.421875" style="0" customWidth="1"/>
    <col min="3" max="3" width="13.7109375" style="0" customWidth="1"/>
  </cols>
  <sheetData>
    <row r="1" spans="1:8" s="24" customFormat="1" ht="18">
      <c r="A1" s="32" t="s">
        <v>149</v>
      </c>
      <c r="B1" s="29"/>
      <c r="C1" s="29"/>
      <c r="D1" s="29"/>
      <c r="E1" s="29"/>
      <c r="F1" s="29"/>
      <c r="G1" s="29"/>
      <c r="H1" s="29"/>
    </row>
    <row r="2" spans="1:6" s="24" customFormat="1" ht="18">
      <c r="A2" s="32" t="s">
        <v>150</v>
      </c>
      <c r="B2" s="29"/>
      <c r="C2" s="29"/>
      <c r="D2" s="29"/>
      <c r="E2" s="29"/>
      <c r="F2" s="29"/>
    </row>
    <row r="3" spans="1:4" ht="12.75">
      <c r="A3" s="26" t="s">
        <v>151</v>
      </c>
      <c r="B3" s="26"/>
      <c r="C3" s="26"/>
      <c r="D3" s="26" t="s">
        <v>8</v>
      </c>
    </row>
    <row r="4" s="24" customFormat="1" ht="12.75"/>
    <row r="5" spans="1:13" s="60" customFormat="1" ht="12.75">
      <c r="A5" s="58" t="s">
        <v>152</v>
      </c>
      <c r="B5" s="58"/>
      <c r="C5" s="58" t="s">
        <v>0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s="60" customFormat="1" ht="12.75">
      <c r="A6" s="58" t="s">
        <v>153</v>
      </c>
      <c r="B6" s="58"/>
      <c r="C6" s="59">
        <v>1900</v>
      </c>
      <c r="D6" s="59">
        <v>1910</v>
      </c>
      <c r="E6" s="59">
        <v>1920</v>
      </c>
      <c r="F6" s="59">
        <v>1930</v>
      </c>
      <c r="G6" s="59">
        <v>1940</v>
      </c>
      <c r="H6" s="59">
        <v>1950</v>
      </c>
      <c r="I6" s="59">
        <v>1960</v>
      </c>
      <c r="J6" s="59">
        <v>1970</v>
      </c>
      <c r="K6" s="59">
        <v>1981</v>
      </c>
      <c r="L6" s="59">
        <v>1991</v>
      </c>
      <c r="M6" s="59">
        <v>2001</v>
      </c>
    </row>
    <row r="7" spans="1:13" ht="12.75">
      <c r="A7" s="3" t="s">
        <v>63</v>
      </c>
      <c r="C7" s="8">
        <f aca="true" t="shared" si="0" ref="C7:L7">SUM(C8:C13)</f>
        <v>7547.000000000001</v>
      </c>
      <c r="D7" s="8">
        <f t="shared" si="0"/>
        <v>7581.5</v>
      </c>
      <c r="E7" s="8">
        <f t="shared" si="0"/>
        <v>7962.400000000001</v>
      </c>
      <c r="F7" s="8">
        <f t="shared" si="0"/>
        <v>8772.5</v>
      </c>
      <c r="G7" s="8">
        <f t="shared" si="0"/>
        <v>9360.9</v>
      </c>
      <c r="H7" s="8">
        <f t="shared" si="0"/>
        <v>10793.1</v>
      </c>
      <c r="I7" s="8">
        <f t="shared" si="0"/>
        <v>11816.6</v>
      </c>
      <c r="J7" s="8">
        <f t="shared" si="0"/>
        <v>11908.1</v>
      </c>
      <c r="K7" s="8">
        <f t="shared" si="0"/>
        <v>12797</v>
      </c>
      <c r="L7" s="8">
        <f t="shared" si="0"/>
        <v>15398.6</v>
      </c>
      <c r="M7" s="8">
        <v>16330</v>
      </c>
    </row>
    <row r="8" spans="1:13" ht="12.75">
      <c r="A8" s="3" t="s">
        <v>154</v>
      </c>
      <c r="C8" s="6">
        <v>4558.3</v>
      </c>
      <c r="D8" s="6">
        <v>4220.5</v>
      </c>
      <c r="E8" s="6">
        <v>4555.6</v>
      </c>
      <c r="F8" s="6">
        <v>4040.7</v>
      </c>
      <c r="G8" s="6">
        <v>4781</v>
      </c>
      <c r="H8" s="6">
        <v>5271</v>
      </c>
      <c r="I8" s="6">
        <v>4696.4</v>
      </c>
      <c r="J8" s="6">
        <v>2958.7</v>
      </c>
      <c r="K8" s="6">
        <v>1854.4</v>
      </c>
      <c r="L8" s="6">
        <v>1536.8</v>
      </c>
      <c r="M8" s="6">
        <v>1035</v>
      </c>
    </row>
    <row r="9" spans="1:13" ht="12.75">
      <c r="A9" s="3" t="s">
        <v>155</v>
      </c>
      <c r="C9" s="6">
        <v>790.1</v>
      </c>
      <c r="D9" s="6">
        <v>841.2</v>
      </c>
      <c r="E9" s="6">
        <v>1478</v>
      </c>
      <c r="F9" s="6">
        <v>2389</v>
      </c>
      <c r="G9" s="6">
        <v>1838.6</v>
      </c>
      <c r="H9" s="6">
        <v>2134.3</v>
      </c>
      <c r="I9" s="6">
        <v>2636.2</v>
      </c>
      <c r="J9" s="6">
        <v>3232.3</v>
      </c>
      <c r="K9" s="6">
        <v>3334.5</v>
      </c>
      <c r="L9" s="6">
        <v>3659</v>
      </c>
      <c r="M9" s="6">
        <v>2999</v>
      </c>
    </row>
    <row r="10" spans="1:13" ht="12.75">
      <c r="A10" s="3" t="s">
        <v>156</v>
      </c>
      <c r="C10" s="6">
        <v>236</v>
      </c>
      <c r="D10" s="6">
        <v>243.5</v>
      </c>
      <c r="E10" s="6">
        <v>216.3</v>
      </c>
      <c r="F10" s="6">
        <v>284.9</v>
      </c>
      <c r="G10" s="6">
        <v>373.4</v>
      </c>
      <c r="H10" s="6">
        <v>574.3</v>
      </c>
      <c r="I10" s="6">
        <v>751</v>
      </c>
      <c r="J10" s="6">
        <v>1217.1</v>
      </c>
      <c r="K10" s="6">
        <v>1259.5</v>
      </c>
      <c r="L10" s="6">
        <v>1681.8</v>
      </c>
      <c r="M10" s="6">
        <v>1917</v>
      </c>
    </row>
    <row r="11" spans="1:13" ht="12.75">
      <c r="A11" s="3" t="s">
        <v>157</v>
      </c>
      <c r="C11" s="6">
        <v>1143.3</v>
      </c>
      <c r="D11" s="6">
        <v>1270.8</v>
      </c>
      <c r="E11" s="6">
        <v>1450.2</v>
      </c>
      <c r="F11" s="6">
        <v>1858.4</v>
      </c>
      <c r="G11" s="6">
        <v>2215.8</v>
      </c>
      <c r="H11" s="6">
        <v>2641.5</v>
      </c>
      <c r="I11" s="6">
        <v>3189.9</v>
      </c>
      <c r="J11" s="6">
        <v>4342.9</v>
      </c>
      <c r="K11" s="6">
        <v>5324</v>
      </c>
      <c r="L11" s="6">
        <v>7636.6</v>
      </c>
      <c r="M11" s="6">
        <v>10380</v>
      </c>
    </row>
    <row r="12" spans="1:13" ht="12.75">
      <c r="A12" s="3" t="s">
        <v>158</v>
      </c>
      <c r="C12" s="6">
        <v>819.3</v>
      </c>
      <c r="D12" s="6">
        <v>1005.5</v>
      </c>
      <c r="E12" s="6">
        <v>262.3</v>
      </c>
      <c r="F12" s="6">
        <v>199.5</v>
      </c>
      <c r="G12" s="6">
        <v>152.1</v>
      </c>
      <c r="H12" s="6">
        <v>172</v>
      </c>
      <c r="I12" s="6">
        <v>543.1</v>
      </c>
      <c r="J12" s="6">
        <v>157.1</v>
      </c>
      <c r="K12" s="6">
        <v>222.7</v>
      </c>
      <c r="L12" s="12" t="s">
        <v>5</v>
      </c>
      <c r="M12" s="12" t="s">
        <v>5</v>
      </c>
    </row>
    <row r="13" spans="1:13" ht="12.75">
      <c r="A13" s="3" t="s">
        <v>159</v>
      </c>
      <c r="C13" s="12" t="s">
        <v>5</v>
      </c>
      <c r="D13" s="12" t="s">
        <v>5</v>
      </c>
      <c r="E13" s="12" t="s">
        <v>5</v>
      </c>
      <c r="F13" s="12" t="s">
        <v>5</v>
      </c>
      <c r="G13" s="12" t="s">
        <v>5</v>
      </c>
      <c r="H13" s="12" t="s">
        <v>5</v>
      </c>
      <c r="I13" s="12" t="s">
        <v>5</v>
      </c>
      <c r="J13" s="12" t="s">
        <v>5</v>
      </c>
      <c r="K13" s="6">
        <v>801.9</v>
      </c>
      <c r="L13" s="6">
        <v>884.4</v>
      </c>
      <c r="M13" s="12" t="s">
        <v>5</v>
      </c>
    </row>
    <row r="14" spans="1:13" ht="12.75">
      <c r="A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2.75">
      <c r="A15" s="3" t="s">
        <v>39</v>
      </c>
      <c r="C15" s="6">
        <f aca="true" t="shared" si="1" ref="C15:L15">SUM(C16:C21)</f>
        <v>6164.2</v>
      </c>
      <c r="D15" s="6">
        <f t="shared" si="1"/>
        <v>6557</v>
      </c>
      <c r="E15" s="6">
        <f t="shared" si="1"/>
        <v>6930.400000000001</v>
      </c>
      <c r="F15" s="6">
        <f t="shared" si="1"/>
        <v>7662.7</v>
      </c>
      <c r="G15" s="6">
        <f t="shared" si="1"/>
        <v>8237.1</v>
      </c>
      <c r="H15" s="6">
        <f t="shared" si="1"/>
        <v>9084.3</v>
      </c>
      <c r="I15" s="6">
        <f t="shared" si="1"/>
        <v>9436.800000000001</v>
      </c>
      <c r="J15" s="6">
        <f t="shared" si="1"/>
        <v>9574.1</v>
      </c>
      <c r="K15" s="6">
        <f t="shared" si="1"/>
        <v>9628.9</v>
      </c>
      <c r="L15" s="6">
        <f t="shared" si="1"/>
        <v>10131.9</v>
      </c>
      <c r="M15" s="6">
        <v>10089</v>
      </c>
    </row>
    <row r="16" spans="1:13" ht="12.75">
      <c r="A16" s="3" t="s">
        <v>154</v>
      </c>
      <c r="C16" s="6">
        <v>3782.6</v>
      </c>
      <c r="D16" s="6">
        <v>3861.1</v>
      </c>
      <c r="E16" s="6">
        <v>4232.8</v>
      </c>
      <c r="F16" s="6">
        <v>3777.3</v>
      </c>
      <c r="G16" s="6">
        <v>4518.9</v>
      </c>
      <c r="H16" s="6">
        <v>4853.2</v>
      </c>
      <c r="I16" s="6">
        <v>4114.9</v>
      </c>
      <c r="J16" s="6">
        <v>2646.4</v>
      </c>
      <c r="K16" s="6">
        <v>1607.2</v>
      </c>
      <c r="L16" s="6">
        <v>1142.2</v>
      </c>
      <c r="M16" s="6">
        <v>759</v>
      </c>
    </row>
    <row r="17" spans="1:13" ht="12.75">
      <c r="A17" s="3" t="s">
        <v>155</v>
      </c>
      <c r="C17" s="6">
        <v>615.1</v>
      </c>
      <c r="D17" s="6">
        <v>664.6</v>
      </c>
      <c r="E17" s="6">
        <v>1197.3</v>
      </c>
      <c r="F17" s="6">
        <v>2037.7</v>
      </c>
      <c r="G17" s="6">
        <v>1528.8</v>
      </c>
      <c r="H17" s="6">
        <v>1713.5</v>
      </c>
      <c r="I17" s="6">
        <v>2096.2</v>
      </c>
      <c r="J17" s="6">
        <v>2528.2</v>
      </c>
      <c r="K17" s="6">
        <v>2666.8</v>
      </c>
      <c r="L17" s="6">
        <v>2676.7</v>
      </c>
      <c r="M17" s="6">
        <v>2204</v>
      </c>
    </row>
    <row r="18" spans="1:13" ht="12.75">
      <c r="A18" s="3" t="s">
        <v>156</v>
      </c>
      <c r="C18" s="6">
        <v>235.7</v>
      </c>
      <c r="D18" s="6">
        <v>243.3</v>
      </c>
      <c r="E18" s="6">
        <v>216.1</v>
      </c>
      <c r="F18" s="6">
        <v>282.9</v>
      </c>
      <c r="G18" s="6">
        <v>371.7</v>
      </c>
      <c r="H18" s="6">
        <v>570</v>
      </c>
      <c r="I18" s="6">
        <v>743.1</v>
      </c>
      <c r="J18" s="6">
        <v>1195.6</v>
      </c>
      <c r="K18" s="6">
        <v>1232.8</v>
      </c>
      <c r="L18" s="6">
        <v>1613.4</v>
      </c>
      <c r="M18" s="6">
        <v>1779</v>
      </c>
    </row>
    <row r="19" spans="1:13" ht="12.75">
      <c r="A19" s="3" t="s">
        <v>157</v>
      </c>
      <c r="C19" s="6">
        <v>783.3</v>
      </c>
      <c r="D19" s="6">
        <v>891.5</v>
      </c>
      <c r="E19" s="6">
        <v>1042.2</v>
      </c>
      <c r="F19" s="6">
        <v>1371.2</v>
      </c>
      <c r="G19" s="6">
        <v>1672.8</v>
      </c>
      <c r="H19" s="6">
        <v>1795.8</v>
      </c>
      <c r="I19" s="6">
        <v>2228</v>
      </c>
      <c r="J19" s="6">
        <v>3077.8</v>
      </c>
      <c r="K19" s="6">
        <v>3545.1</v>
      </c>
      <c r="L19" s="6">
        <v>4314.9</v>
      </c>
      <c r="M19" s="6">
        <v>5347</v>
      </c>
    </row>
    <row r="20" spans="1:13" ht="12.75">
      <c r="A20" s="3" t="s">
        <v>158</v>
      </c>
      <c r="C20" s="6">
        <v>747.5</v>
      </c>
      <c r="D20" s="6">
        <v>896.5</v>
      </c>
      <c r="E20" s="6">
        <v>242</v>
      </c>
      <c r="F20" s="6">
        <v>193.6</v>
      </c>
      <c r="G20" s="6">
        <v>144.9</v>
      </c>
      <c r="H20" s="6">
        <v>151.8</v>
      </c>
      <c r="I20" s="6">
        <v>254.6</v>
      </c>
      <c r="J20" s="6">
        <v>126.1</v>
      </c>
      <c r="K20" s="6">
        <v>164.2</v>
      </c>
      <c r="L20" s="12" t="s">
        <v>5</v>
      </c>
      <c r="M20" s="12" t="s">
        <v>5</v>
      </c>
    </row>
    <row r="21" spans="1:13" ht="12.75">
      <c r="A21" s="3" t="s">
        <v>159</v>
      </c>
      <c r="C21" s="12" t="s">
        <v>5</v>
      </c>
      <c r="D21" s="12" t="s">
        <v>5</v>
      </c>
      <c r="E21" s="12" t="s">
        <v>5</v>
      </c>
      <c r="F21" s="12" t="s">
        <v>5</v>
      </c>
      <c r="G21" s="12" t="s">
        <v>5</v>
      </c>
      <c r="H21" s="12" t="s">
        <v>5</v>
      </c>
      <c r="I21" s="12" t="s">
        <v>5</v>
      </c>
      <c r="J21" s="12" t="s">
        <v>5</v>
      </c>
      <c r="K21" s="6">
        <v>412.8</v>
      </c>
      <c r="L21" s="6">
        <v>384.7</v>
      </c>
      <c r="M21" s="12" t="s">
        <v>5</v>
      </c>
    </row>
    <row r="22" spans="1:13" ht="12.75">
      <c r="A22" s="3"/>
      <c r="C22" s="12"/>
      <c r="D22" s="12"/>
      <c r="E22" s="12"/>
      <c r="F22" s="12"/>
      <c r="G22" s="12"/>
      <c r="H22" s="12"/>
      <c r="I22" s="12"/>
      <c r="J22" s="12"/>
      <c r="K22" s="6"/>
      <c r="L22" s="6"/>
      <c r="M22" s="6"/>
    </row>
    <row r="23" spans="1:13" ht="12.75">
      <c r="A23" s="3" t="s">
        <v>40</v>
      </c>
      <c r="C23" s="6">
        <f aca="true" t="shared" si="2" ref="C23:L23">C7-C15</f>
        <v>1382.800000000001</v>
      </c>
      <c r="D23" s="6">
        <f t="shared" si="2"/>
        <v>1024.5</v>
      </c>
      <c r="E23" s="6">
        <f t="shared" si="2"/>
        <v>1032</v>
      </c>
      <c r="F23" s="6">
        <f t="shared" si="2"/>
        <v>1109.8000000000002</v>
      </c>
      <c r="G23" s="6">
        <f t="shared" si="2"/>
        <v>1123.7999999999993</v>
      </c>
      <c r="H23" s="6">
        <f t="shared" si="2"/>
        <v>1708.800000000001</v>
      </c>
      <c r="I23" s="6">
        <f t="shared" si="2"/>
        <v>2379.7999999999993</v>
      </c>
      <c r="J23" s="6">
        <f t="shared" si="2"/>
        <v>2334</v>
      </c>
      <c r="K23" s="6">
        <f t="shared" si="2"/>
        <v>3168.1000000000004</v>
      </c>
      <c r="L23" s="6">
        <f t="shared" si="2"/>
        <v>5266.700000000001</v>
      </c>
      <c r="M23" s="6">
        <v>6240</v>
      </c>
    </row>
    <row r="24" spans="1:13" ht="12.75">
      <c r="A24" s="3" t="s">
        <v>154</v>
      </c>
      <c r="C24" s="6">
        <f aca="true" t="shared" si="3" ref="C24:L28">C8-C16</f>
        <v>775.7000000000003</v>
      </c>
      <c r="D24" s="6">
        <f t="shared" si="3"/>
        <v>359.4000000000001</v>
      </c>
      <c r="E24" s="6">
        <f t="shared" si="3"/>
        <v>322.8000000000002</v>
      </c>
      <c r="F24" s="6">
        <f t="shared" si="3"/>
        <v>263.39999999999964</v>
      </c>
      <c r="G24" s="6">
        <f t="shared" si="3"/>
        <v>262.10000000000036</v>
      </c>
      <c r="H24" s="6">
        <f t="shared" si="3"/>
        <v>417.8000000000002</v>
      </c>
      <c r="I24" s="6">
        <f t="shared" si="3"/>
        <v>581.5</v>
      </c>
      <c r="J24" s="6">
        <f t="shared" si="3"/>
        <v>312.2999999999997</v>
      </c>
      <c r="K24" s="6">
        <f t="shared" si="3"/>
        <v>247.20000000000005</v>
      </c>
      <c r="L24" s="6">
        <f t="shared" si="3"/>
        <v>394.5999999999999</v>
      </c>
      <c r="M24" s="6">
        <v>276</v>
      </c>
    </row>
    <row r="25" spans="1:13" ht="12.75">
      <c r="A25" s="3" t="s">
        <v>155</v>
      </c>
      <c r="C25" s="6">
        <f t="shared" si="3"/>
        <v>175</v>
      </c>
      <c r="D25" s="6">
        <f t="shared" si="3"/>
        <v>176.60000000000002</v>
      </c>
      <c r="E25" s="6">
        <f t="shared" si="3"/>
        <v>280.70000000000005</v>
      </c>
      <c r="F25" s="6">
        <f t="shared" si="3"/>
        <v>351.29999999999995</v>
      </c>
      <c r="G25" s="6">
        <f t="shared" si="3"/>
        <v>309.79999999999995</v>
      </c>
      <c r="H25" s="6">
        <f t="shared" si="3"/>
        <v>420.8000000000002</v>
      </c>
      <c r="I25" s="6">
        <f t="shared" si="3"/>
        <v>540</v>
      </c>
      <c r="J25" s="6">
        <f t="shared" si="3"/>
        <v>704.1000000000004</v>
      </c>
      <c r="K25" s="6">
        <f t="shared" si="3"/>
        <v>667.6999999999998</v>
      </c>
      <c r="L25" s="6">
        <f t="shared" si="3"/>
        <v>982.3000000000002</v>
      </c>
      <c r="M25" s="6">
        <v>795</v>
      </c>
    </row>
    <row r="26" spans="1:13" ht="12.75">
      <c r="A26" s="3" t="s">
        <v>156</v>
      </c>
      <c r="C26" s="6">
        <f t="shared" si="3"/>
        <v>0.30000000000001137</v>
      </c>
      <c r="D26" s="6">
        <f t="shared" si="3"/>
        <v>0.19999999999998863</v>
      </c>
      <c r="E26" s="6">
        <f t="shared" si="3"/>
        <v>0.20000000000001705</v>
      </c>
      <c r="F26" s="6">
        <f t="shared" si="3"/>
        <v>2</v>
      </c>
      <c r="G26" s="6">
        <f t="shared" si="3"/>
        <v>1.6999999999999886</v>
      </c>
      <c r="H26" s="6">
        <f t="shared" si="3"/>
        <v>4.2999999999999545</v>
      </c>
      <c r="I26" s="6">
        <f t="shared" si="3"/>
        <v>7.899999999999977</v>
      </c>
      <c r="J26" s="6">
        <f t="shared" si="3"/>
        <v>21.5</v>
      </c>
      <c r="K26" s="6">
        <f t="shared" si="3"/>
        <v>26.700000000000045</v>
      </c>
      <c r="L26" s="6">
        <f t="shared" si="3"/>
        <v>68.39999999999986</v>
      </c>
      <c r="M26" s="6">
        <v>138</v>
      </c>
    </row>
    <row r="27" spans="1:13" ht="12.75">
      <c r="A27" s="3" t="s">
        <v>157</v>
      </c>
      <c r="C27" s="6">
        <f t="shared" si="3"/>
        <v>360</v>
      </c>
      <c r="D27" s="6">
        <f t="shared" si="3"/>
        <v>379.29999999999995</v>
      </c>
      <c r="E27" s="6">
        <f t="shared" si="3"/>
        <v>408</v>
      </c>
      <c r="F27" s="6">
        <f t="shared" si="3"/>
        <v>487.20000000000005</v>
      </c>
      <c r="G27" s="6">
        <f t="shared" si="3"/>
        <v>543.0000000000002</v>
      </c>
      <c r="H27" s="6">
        <f t="shared" si="3"/>
        <v>845.7</v>
      </c>
      <c r="I27" s="6">
        <f t="shared" si="3"/>
        <v>961.9000000000001</v>
      </c>
      <c r="J27" s="6">
        <f t="shared" si="3"/>
        <v>1265.0999999999995</v>
      </c>
      <c r="K27" s="6">
        <f t="shared" si="3"/>
        <v>1778.9</v>
      </c>
      <c r="L27" s="6">
        <f t="shared" si="3"/>
        <v>3321.7000000000007</v>
      </c>
      <c r="M27" s="12">
        <v>5032</v>
      </c>
    </row>
    <row r="28" spans="1:13" ht="12.75">
      <c r="A28" s="3" t="s">
        <v>158</v>
      </c>
      <c r="C28" s="6">
        <f t="shared" si="3"/>
        <v>71.79999999999995</v>
      </c>
      <c r="D28" s="6">
        <f t="shared" si="3"/>
        <v>109</v>
      </c>
      <c r="E28" s="6">
        <f t="shared" si="3"/>
        <v>20.30000000000001</v>
      </c>
      <c r="F28" s="6">
        <f t="shared" si="3"/>
        <v>5.900000000000006</v>
      </c>
      <c r="G28" s="6">
        <f t="shared" si="3"/>
        <v>7.199999999999989</v>
      </c>
      <c r="H28" s="6">
        <f t="shared" si="3"/>
        <v>20.19999999999999</v>
      </c>
      <c r="I28" s="6">
        <f t="shared" si="3"/>
        <v>288.5</v>
      </c>
      <c r="J28" s="6">
        <f t="shared" si="3"/>
        <v>31</v>
      </c>
      <c r="K28" s="6">
        <f t="shared" si="3"/>
        <v>58.5</v>
      </c>
      <c r="L28" s="6"/>
      <c r="M28" s="12" t="s">
        <v>5</v>
      </c>
    </row>
    <row r="29" spans="1:13" ht="12.75">
      <c r="A29" s="3" t="s">
        <v>159</v>
      </c>
      <c r="C29" s="12" t="s">
        <v>5</v>
      </c>
      <c r="D29" s="12" t="s">
        <v>5</v>
      </c>
      <c r="E29" s="12" t="s">
        <v>5</v>
      </c>
      <c r="F29" s="12" t="s">
        <v>5</v>
      </c>
      <c r="G29" s="12" t="s">
        <v>5</v>
      </c>
      <c r="H29" s="12" t="s">
        <v>5</v>
      </c>
      <c r="I29" s="12" t="s">
        <v>5</v>
      </c>
      <c r="J29" s="6"/>
      <c r="K29" s="6"/>
      <c r="L29" s="6"/>
      <c r="M29" s="12" t="s">
        <v>5</v>
      </c>
    </row>
    <row r="30" spans="3:13" ht="12.75">
      <c r="C30" s="6"/>
      <c r="D30" s="6"/>
      <c r="E30" s="6"/>
      <c r="F30" s="6"/>
      <c r="G30" s="6"/>
      <c r="H30" s="6"/>
      <c r="I30" s="6"/>
      <c r="J30" s="6"/>
      <c r="K30" s="6"/>
      <c r="L30" s="6"/>
      <c r="M30" s="9"/>
    </row>
    <row r="31" spans="3:13" ht="12.7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3:13" ht="12.7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57" customFormat="1" ht="12.75">
      <c r="A33" s="53" t="s">
        <v>126</v>
      </c>
      <c r="B33" s="54"/>
      <c r="C33" s="55">
        <v>1900</v>
      </c>
      <c r="D33" s="55">
        <v>1910</v>
      </c>
      <c r="E33" s="55">
        <v>1920</v>
      </c>
      <c r="F33" s="55">
        <v>1930</v>
      </c>
      <c r="G33" s="55">
        <v>1940</v>
      </c>
      <c r="H33" s="55">
        <v>1950</v>
      </c>
      <c r="I33" s="55">
        <v>1960</v>
      </c>
      <c r="J33" s="55">
        <v>1970</v>
      </c>
      <c r="K33" s="55">
        <v>1981</v>
      </c>
      <c r="L33" s="55">
        <v>1991</v>
      </c>
      <c r="M33" s="55">
        <v>2001</v>
      </c>
    </row>
    <row r="34" spans="1:13" ht="12.75">
      <c r="A34" s="3" t="s">
        <v>63</v>
      </c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24" customFormat="1" ht="12.75">
      <c r="A35" s="48" t="s">
        <v>154</v>
      </c>
      <c r="B35" s="48"/>
      <c r="C35" s="77">
        <f aca="true" t="shared" si="4" ref="C35:L40">(C8/C$7)*1000</f>
        <v>603.9883397376441</v>
      </c>
      <c r="D35" s="77">
        <f t="shared" si="4"/>
        <v>556.684033502605</v>
      </c>
      <c r="E35" s="77">
        <f t="shared" si="4"/>
        <v>572.1390535516929</v>
      </c>
      <c r="F35" s="77">
        <f t="shared" si="4"/>
        <v>460.60986035907666</v>
      </c>
      <c r="G35" s="77">
        <f t="shared" si="4"/>
        <v>510.74148853208555</v>
      </c>
      <c r="H35" s="77">
        <f t="shared" si="4"/>
        <v>488.3675681685521</v>
      </c>
      <c r="I35" s="77">
        <f t="shared" si="4"/>
        <v>397.4408882419647</v>
      </c>
      <c r="J35" s="77">
        <f t="shared" si="4"/>
        <v>248.46113149872772</v>
      </c>
      <c r="K35" s="77">
        <f t="shared" si="4"/>
        <v>144.9089630382121</v>
      </c>
      <c r="L35" s="77">
        <f t="shared" si="4"/>
        <v>99.80128063590196</v>
      </c>
      <c r="M35" s="77">
        <f>(M8/M$7)*1000</f>
        <v>63.38028169014084</v>
      </c>
    </row>
    <row r="36" spans="1:13" ht="12.75">
      <c r="A36" s="3" t="s">
        <v>155</v>
      </c>
      <c r="B36" s="3"/>
      <c r="C36" s="9">
        <f t="shared" si="4"/>
        <v>104.69060553862461</v>
      </c>
      <c r="D36" s="9">
        <f t="shared" si="4"/>
        <v>110.9542966431445</v>
      </c>
      <c r="E36" s="9">
        <f t="shared" si="4"/>
        <v>185.62242539937708</v>
      </c>
      <c r="F36" s="9">
        <f t="shared" si="4"/>
        <v>272.32829866058705</v>
      </c>
      <c r="G36" s="9">
        <f t="shared" si="4"/>
        <v>196.41273809142285</v>
      </c>
      <c r="H36" s="9">
        <f t="shared" si="4"/>
        <v>197.74670854527432</v>
      </c>
      <c r="I36" s="9">
        <f t="shared" si="4"/>
        <v>223.0929370546519</v>
      </c>
      <c r="J36" s="9">
        <f t="shared" si="4"/>
        <v>271.4370890402331</v>
      </c>
      <c r="K36" s="9">
        <f t="shared" si="4"/>
        <v>260.5688833320309</v>
      </c>
      <c r="L36" s="9">
        <f t="shared" si="4"/>
        <v>237.6190043250685</v>
      </c>
      <c r="M36" s="9">
        <f>(M9/M$7)*1000</f>
        <v>183.64972443355788</v>
      </c>
    </row>
    <row r="37" spans="1:13" ht="12.75">
      <c r="A37" s="3" t="s">
        <v>156</v>
      </c>
      <c r="B37" s="3"/>
      <c r="C37" s="9">
        <f t="shared" si="4"/>
        <v>31.27070359083079</v>
      </c>
      <c r="D37" s="9">
        <f t="shared" si="4"/>
        <v>32.11765481764822</v>
      </c>
      <c r="E37" s="9">
        <f t="shared" si="4"/>
        <v>27.165176328745105</v>
      </c>
      <c r="F37" s="9">
        <f t="shared" si="4"/>
        <v>32.476489028213166</v>
      </c>
      <c r="G37" s="9">
        <f t="shared" si="4"/>
        <v>39.8893268809623</v>
      </c>
      <c r="H37" s="9">
        <f t="shared" si="4"/>
        <v>53.20992115332943</v>
      </c>
      <c r="I37" s="9">
        <f t="shared" si="4"/>
        <v>63.55466039300644</v>
      </c>
      <c r="J37" s="9">
        <f t="shared" si="4"/>
        <v>102.20774094943776</v>
      </c>
      <c r="K37" s="9">
        <f t="shared" si="4"/>
        <v>98.4215050402438</v>
      </c>
      <c r="L37" s="9">
        <f t="shared" si="4"/>
        <v>109.21772109152779</v>
      </c>
      <c r="M37" s="9">
        <f>(M10/M$7)*1000</f>
        <v>117.3913043478261</v>
      </c>
    </row>
    <row r="38" spans="1:13" ht="12.75">
      <c r="A38" s="3" t="s">
        <v>157</v>
      </c>
      <c r="B38" s="3"/>
      <c r="C38" s="9">
        <f t="shared" si="4"/>
        <v>151.4906585398171</v>
      </c>
      <c r="D38" s="9">
        <f t="shared" si="4"/>
        <v>167.61854514278176</v>
      </c>
      <c r="E38" s="9">
        <f t="shared" si="4"/>
        <v>182.13101577413846</v>
      </c>
      <c r="F38" s="9">
        <f t="shared" si="4"/>
        <v>211.84383015104018</v>
      </c>
      <c r="G38" s="9">
        <f t="shared" si="4"/>
        <v>236.70800884530334</v>
      </c>
      <c r="H38" s="9">
        <f t="shared" si="4"/>
        <v>244.73969480501432</v>
      </c>
      <c r="I38" s="9">
        <f t="shared" si="4"/>
        <v>269.9507472538632</v>
      </c>
      <c r="J38" s="9">
        <f t="shared" si="4"/>
        <v>364.70133774489625</v>
      </c>
      <c r="K38" s="9">
        <f t="shared" si="4"/>
        <v>416.0350082050481</v>
      </c>
      <c r="L38" s="9">
        <f t="shared" si="4"/>
        <v>495.9282012650501</v>
      </c>
      <c r="M38" s="9">
        <f>(M11/M$7)*1000</f>
        <v>635.6399265156155</v>
      </c>
    </row>
    <row r="39" spans="1:13" ht="12.75">
      <c r="A39" s="3" t="s">
        <v>158</v>
      </c>
      <c r="B39" s="3"/>
      <c r="C39" s="9">
        <f t="shared" si="4"/>
        <v>108.55969259308333</v>
      </c>
      <c r="D39" s="9">
        <f t="shared" si="4"/>
        <v>132.62546989382048</v>
      </c>
      <c r="E39" s="9">
        <f t="shared" si="4"/>
        <v>32.942328946046416</v>
      </c>
      <c r="F39" s="9">
        <f t="shared" si="4"/>
        <v>22.74152180108293</v>
      </c>
      <c r="G39" s="9">
        <f t="shared" si="4"/>
        <v>16.24843765022594</v>
      </c>
      <c r="H39" s="9">
        <f t="shared" si="4"/>
        <v>15.936107327829816</v>
      </c>
      <c r="I39" s="9">
        <f t="shared" si="4"/>
        <v>45.96076705651372</v>
      </c>
      <c r="J39" s="9">
        <f t="shared" si="4"/>
        <v>13.192700766705016</v>
      </c>
      <c r="K39" s="9">
        <f t="shared" si="4"/>
        <v>17.40251621473783</v>
      </c>
      <c r="L39" s="13" t="s">
        <v>5</v>
      </c>
      <c r="M39" s="13" t="s">
        <v>5</v>
      </c>
    </row>
    <row r="40" spans="1:13" ht="12.75">
      <c r="A40" s="3" t="s">
        <v>159</v>
      </c>
      <c r="B40" s="3"/>
      <c r="C40" s="13" t="s">
        <v>5</v>
      </c>
      <c r="D40" s="13" t="s">
        <v>5</v>
      </c>
      <c r="E40" s="13" t="s">
        <v>5</v>
      </c>
      <c r="F40" s="13" t="s">
        <v>5</v>
      </c>
      <c r="G40" s="13" t="s">
        <v>5</v>
      </c>
      <c r="H40" s="13" t="s">
        <v>5</v>
      </c>
      <c r="I40" s="13" t="s">
        <v>5</v>
      </c>
      <c r="J40" s="13" t="s">
        <v>5</v>
      </c>
      <c r="K40" s="9">
        <f t="shared" si="4"/>
        <v>62.663124169727276</v>
      </c>
      <c r="L40" s="9">
        <f t="shared" si="4"/>
        <v>57.433792682451646</v>
      </c>
      <c r="M40" s="13" t="s">
        <v>5</v>
      </c>
    </row>
    <row r="41" spans="1:13" ht="12.75">
      <c r="A41" s="3"/>
      <c r="B41" s="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3" t="s">
        <v>39</v>
      </c>
      <c r="B42" s="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3" t="s">
        <v>154</v>
      </c>
      <c r="B43" s="3"/>
      <c r="C43" s="9">
        <f aca="true" t="shared" si="5" ref="C43:L48">(C16/C$15)*1000</f>
        <v>613.6400506148404</v>
      </c>
      <c r="D43" s="9">
        <f t="shared" si="5"/>
        <v>588.8516089675156</v>
      </c>
      <c r="E43" s="9">
        <f t="shared" si="5"/>
        <v>610.7583977836777</v>
      </c>
      <c r="F43" s="9">
        <f t="shared" si="5"/>
        <v>492.9463505030864</v>
      </c>
      <c r="G43" s="9">
        <f t="shared" si="5"/>
        <v>548.6032705685253</v>
      </c>
      <c r="H43" s="9">
        <f t="shared" si="5"/>
        <v>534.2403927655406</v>
      </c>
      <c r="I43" s="9">
        <f t="shared" si="5"/>
        <v>436.0482366904034</v>
      </c>
      <c r="J43" s="9">
        <f t="shared" si="5"/>
        <v>276.4124042990986</v>
      </c>
      <c r="K43" s="9">
        <f t="shared" si="5"/>
        <v>166.9141854209723</v>
      </c>
      <c r="L43" s="9">
        <f t="shared" si="5"/>
        <v>112.73305105656394</v>
      </c>
      <c r="M43" s="9">
        <f>(M16/M$15)*1000</f>
        <v>75.23044900386559</v>
      </c>
    </row>
    <row r="44" spans="1:13" ht="12.75">
      <c r="A44" s="3" t="s">
        <v>155</v>
      </c>
      <c r="B44" s="3"/>
      <c r="C44" s="9">
        <f t="shared" si="5"/>
        <v>99.78586029006198</v>
      </c>
      <c r="D44" s="9">
        <f t="shared" si="5"/>
        <v>101.35732804636267</v>
      </c>
      <c r="E44" s="9">
        <f t="shared" si="5"/>
        <v>172.76059101927737</v>
      </c>
      <c r="F44" s="9">
        <f t="shared" si="5"/>
        <v>265.924543568194</v>
      </c>
      <c r="G44" s="9">
        <f t="shared" si="5"/>
        <v>185.59930072476962</v>
      </c>
      <c r="H44" s="9">
        <f t="shared" si="5"/>
        <v>188.62212828726484</v>
      </c>
      <c r="I44" s="9">
        <f t="shared" si="5"/>
        <v>222.1303831807392</v>
      </c>
      <c r="J44" s="9">
        <f t="shared" si="5"/>
        <v>264.06659633803696</v>
      </c>
      <c r="K44" s="9">
        <f t="shared" si="5"/>
        <v>276.95790796456504</v>
      </c>
      <c r="L44" s="9">
        <f t="shared" si="5"/>
        <v>264.18539464463726</v>
      </c>
      <c r="M44" s="9">
        <f>(M17/M$15)*1000</f>
        <v>218.4557438794727</v>
      </c>
    </row>
    <row r="45" spans="1:13" ht="12.75">
      <c r="A45" s="3" t="s">
        <v>156</v>
      </c>
      <c r="B45" s="3"/>
      <c r="C45" s="9">
        <f t="shared" si="5"/>
        <v>38.23691638817689</v>
      </c>
      <c r="D45" s="9">
        <f t="shared" si="5"/>
        <v>37.10538355955468</v>
      </c>
      <c r="E45" s="9">
        <f t="shared" si="5"/>
        <v>31.181461387510097</v>
      </c>
      <c r="F45" s="9">
        <f t="shared" si="5"/>
        <v>36.91910162214363</v>
      </c>
      <c r="G45" s="9">
        <f t="shared" si="5"/>
        <v>45.12510470918163</v>
      </c>
      <c r="H45" s="9">
        <f t="shared" si="5"/>
        <v>62.74561606287772</v>
      </c>
      <c r="I45" s="9">
        <f t="shared" si="5"/>
        <v>78.74491353001017</v>
      </c>
      <c r="J45" s="9">
        <f t="shared" si="5"/>
        <v>124.87857866535757</v>
      </c>
      <c r="K45" s="9">
        <f t="shared" si="5"/>
        <v>128.0312392900539</v>
      </c>
      <c r="L45" s="9">
        <f t="shared" si="5"/>
        <v>159.2396292896693</v>
      </c>
      <c r="M45" s="9">
        <f>(M18/M$15)*1000</f>
        <v>176.33065715135297</v>
      </c>
    </row>
    <row r="46" spans="1:13" ht="12.75">
      <c r="A46" s="3" t="s">
        <v>157</v>
      </c>
      <c r="B46" s="3"/>
      <c r="C46" s="9">
        <f t="shared" si="5"/>
        <v>127.07245060186237</v>
      </c>
      <c r="D46" s="9">
        <f t="shared" si="5"/>
        <v>135.96156779014794</v>
      </c>
      <c r="E46" s="9">
        <f t="shared" si="5"/>
        <v>150.38093039362806</v>
      </c>
      <c r="F46" s="9">
        <f t="shared" si="5"/>
        <v>178.94475837498533</v>
      </c>
      <c r="G46" s="9">
        <f t="shared" si="5"/>
        <v>203.0811814837746</v>
      </c>
      <c r="H46" s="9">
        <f t="shared" si="5"/>
        <v>197.68171460651897</v>
      </c>
      <c r="I46" s="9">
        <f t="shared" si="5"/>
        <v>236.096982027806</v>
      </c>
      <c r="J46" s="9">
        <f t="shared" si="5"/>
        <v>321.4714699031763</v>
      </c>
      <c r="K46" s="9">
        <f t="shared" si="5"/>
        <v>368.17289617713345</v>
      </c>
      <c r="L46" s="9">
        <f t="shared" si="5"/>
        <v>425.8727385781541</v>
      </c>
      <c r="M46" s="9">
        <f>(M19/M$15)*1000</f>
        <v>529.9831499653087</v>
      </c>
    </row>
    <row r="47" spans="1:13" ht="12.75">
      <c r="A47" s="3" t="s">
        <v>158</v>
      </c>
      <c r="B47" s="3"/>
      <c r="C47" s="9">
        <f t="shared" si="5"/>
        <v>121.26472210505824</v>
      </c>
      <c r="D47" s="9">
        <f t="shared" si="5"/>
        <v>136.72411163641908</v>
      </c>
      <c r="E47" s="9">
        <f t="shared" si="5"/>
        <v>34.918619415906726</v>
      </c>
      <c r="F47" s="9">
        <f t="shared" si="5"/>
        <v>25.26524593159069</v>
      </c>
      <c r="G47" s="9">
        <f t="shared" si="5"/>
        <v>17.59114251374877</v>
      </c>
      <c r="H47" s="9">
        <f t="shared" si="5"/>
        <v>16.710148277797963</v>
      </c>
      <c r="I47" s="9">
        <f t="shared" si="5"/>
        <v>26.979484571041027</v>
      </c>
      <c r="J47" s="9">
        <f t="shared" si="5"/>
        <v>13.170950794330537</v>
      </c>
      <c r="K47" s="9">
        <f t="shared" si="5"/>
        <v>17.05283054139102</v>
      </c>
      <c r="L47" s="13" t="s">
        <v>5</v>
      </c>
      <c r="M47" s="13" t="s">
        <v>5</v>
      </c>
    </row>
    <row r="48" spans="1:13" ht="12.75">
      <c r="A48" s="3" t="s">
        <v>159</v>
      </c>
      <c r="B48" s="3"/>
      <c r="C48" s="13" t="s">
        <v>5</v>
      </c>
      <c r="D48" s="13" t="s">
        <v>5</v>
      </c>
      <c r="E48" s="13" t="s">
        <v>5</v>
      </c>
      <c r="F48" s="13" t="s">
        <v>5</v>
      </c>
      <c r="G48" s="13" t="s">
        <v>5</v>
      </c>
      <c r="H48" s="13" t="s">
        <v>5</v>
      </c>
      <c r="I48" s="13" t="s">
        <v>5</v>
      </c>
      <c r="J48" s="13" t="s">
        <v>5</v>
      </c>
      <c r="K48" s="9">
        <f t="shared" si="5"/>
        <v>42.87094060588437</v>
      </c>
      <c r="L48" s="9">
        <f t="shared" si="5"/>
        <v>37.969186430975434</v>
      </c>
      <c r="M48" s="13" t="s">
        <v>5</v>
      </c>
    </row>
    <row r="49" spans="1:13" ht="12.75">
      <c r="A49" s="3"/>
      <c r="B49" s="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3" t="s">
        <v>40</v>
      </c>
      <c r="B50" s="3"/>
      <c r="M50" s="9"/>
    </row>
    <row r="51" spans="1:13" ht="12.75">
      <c r="A51" s="3" t="s">
        <v>154</v>
      </c>
      <c r="B51" s="3"/>
      <c r="C51" s="9">
        <f aca="true" t="shared" si="6" ref="C51:L51">(C24/C$23)*1000</f>
        <v>560.9632629447495</v>
      </c>
      <c r="D51" s="9">
        <f t="shared" si="6"/>
        <v>350.80527086383614</v>
      </c>
      <c r="E51" s="9">
        <f t="shared" si="6"/>
        <v>312.7906976744188</v>
      </c>
      <c r="F51" s="9">
        <f t="shared" si="6"/>
        <v>237.34006127230094</v>
      </c>
      <c r="G51" s="9">
        <f t="shared" si="6"/>
        <v>233.2265527673968</v>
      </c>
      <c r="H51" s="9">
        <f t="shared" si="6"/>
        <v>244.49906367041194</v>
      </c>
      <c r="I51" s="9">
        <f t="shared" si="6"/>
        <v>244.34826456004714</v>
      </c>
      <c r="J51" s="9">
        <f t="shared" si="6"/>
        <v>133.80462724935722</v>
      </c>
      <c r="K51" s="9">
        <f t="shared" si="6"/>
        <v>78.02784003030209</v>
      </c>
      <c r="L51" s="9">
        <f t="shared" si="6"/>
        <v>74.92357643306052</v>
      </c>
      <c r="M51" s="9">
        <f>(M24/$M$23)*1000</f>
        <v>44.23076923076923</v>
      </c>
    </row>
    <row r="52" spans="1:13" ht="12.75">
      <c r="A52" s="3" t="s">
        <v>155</v>
      </c>
      <c r="B52" s="3"/>
      <c r="C52" s="9">
        <f aca="true" t="shared" si="7" ref="C52:L52">(C25/C$23)*1000</f>
        <v>126.55481631472365</v>
      </c>
      <c r="D52" s="9">
        <f t="shared" si="7"/>
        <v>172.37676915568574</v>
      </c>
      <c r="E52" s="9">
        <f t="shared" si="7"/>
        <v>271.9961240310078</v>
      </c>
      <c r="F52" s="9">
        <f t="shared" si="7"/>
        <v>316.543521355199</v>
      </c>
      <c r="G52" s="9">
        <f t="shared" si="7"/>
        <v>275.6718277273538</v>
      </c>
      <c r="H52" s="9">
        <f t="shared" si="7"/>
        <v>246.25468164794</v>
      </c>
      <c r="I52" s="9">
        <f t="shared" si="7"/>
        <v>226.90982435498788</v>
      </c>
      <c r="J52" s="9">
        <f t="shared" si="7"/>
        <v>301.67095115681246</v>
      </c>
      <c r="K52" s="9">
        <f t="shared" si="7"/>
        <v>210.75723619835225</v>
      </c>
      <c r="L52" s="9">
        <f t="shared" si="7"/>
        <v>186.51147777545714</v>
      </c>
      <c r="M52" s="9">
        <f>(M25/$M$23)*1000</f>
        <v>127.40384615384615</v>
      </c>
    </row>
    <row r="53" spans="1:13" ht="12.75">
      <c r="A53" s="3" t="s">
        <v>156</v>
      </c>
      <c r="B53" s="3"/>
      <c r="C53" s="9">
        <f aca="true" t="shared" si="8" ref="C53:L53">(C26/C$23)*1000</f>
        <v>0.21695111368239162</v>
      </c>
      <c r="D53" s="9">
        <f t="shared" si="8"/>
        <v>0.19521717911175074</v>
      </c>
      <c r="E53" s="9">
        <f t="shared" si="8"/>
        <v>0.19379844961241963</v>
      </c>
      <c r="F53" s="9">
        <f t="shared" si="8"/>
        <v>1.8021265092809513</v>
      </c>
      <c r="G53" s="9">
        <f t="shared" si="8"/>
        <v>1.5127246841074833</v>
      </c>
      <c r="H53" s="9">
        <f t="shared" si="8"/>
        <v>2.516385767790234</v>
      </c>
      <c r="I53" s="9">
        <f t="shared" si="8"/>
        <v>3.319606689637776</v>
      </c>
      <c r="J53" s="9">
        <f t="shared" si="8"/>
        <v>9.211653813196229</v>
      </c>
      <c r="K53" s="9">
        <f t="shared" si="8"/>
        <v>8.42776427511759</v>
      </c>
      <c r="L53" s="9">
        <f t="shared" si="8"/>
        <v>12.987259574306464</v>
      </c>
      <c r="M53" s="9">
        <f>(M26/$M$23)*1000</f>
        <v>22.115384615384617</v>
      </c>
    </row>
    <row r="54" spans="1:13" ht="12.75">
      <c r="A54" s="3" t="s">
        <v>157</v>
      </c>
      <c r="B54" s="3"/>
      <c r="C54" s="9">
        <f aca="true" t="shared" si="9" ref="C54:L54">(C27/C$23)*1000</f>
        <v>260.34133641886007</v>
      </c>
      <c r="D54" s="9">
        <f t="shared" si="9"/>
        <v>370.22938018545625</v>
      </c>
      <c r="E54" s="9">
        <f t="shared" si="9"/>
        <v>395.3488372093023</v>
      </c>
      <c r="F54" s="9">
        <f t="shared" si="9"/>
        <v>438.9980176608397</v>
      </c>
      <c r="G54" s="9">
        <f t="shared" si="9"/>
        <v>483.1820608649231</v>
      </c>
      <c r="H54" s="9">
        <f t="shared" si="9"/>
        <v>494.90870786516825</v>
      </c>
      <c r="I54" s="9">
        <f t="shared" si="9"/>
        <v>404.19362971678305</v>
      </c>
      <c r="J54" s="9">
        <f t="shared" si="9"/>
        <v>542.0308483290486</v>
      </c>
      <c r="K54" s="9">
        <f t="shared" si="9"/>
        <v>561.5037404122344</v>
      </c>
      <c r="L54" s="9">
        <f t="shared" si="9"/>
        <v>630.698539882659</v>
      </c>
      <c r="M54" s="9">
        <f>(M27/$M$23)*1000</f>
        <v>806.4102564102565</v>
      </c>
    </row>
    <row r="55" spans="1:13" ht="12.75">
      <c r="A55" s="3" t="s">
        <v>158</v>
      </c>
      <c r="B55" s="3"/>
      <c r="C55" s="9">
        <f aca="true" t="shared" si="10" ref="C55:K55">(C28/C$23)*1000</f>
        <v>51.92363320798373</v>
      </c>
      <c r="D55" s="9">
        <f t="shared" si="10"/>
        <v>106.3933626159102</v>
      </c>
      <c r="E55" s="9">
        <f t="shared" si="10"/>
        <v>19.670542635658926</v>
      </c>
      <c r="F55" s="9">
        <f t="shared" si="10"/>
        <v>5.316273202378811</v>
      </c>
      <c r="G55" s="9">
        <f t="shared" si="10"/>
        <v>6.4068339562199625</v>
      </c>
      <c r="H55" s="9">
        <f t="shared" si="10"/>
        <v>11.821161048689124</v>
      </c>
      <c r="I55" s="9">
        <f t="shared" si="10"/>
        <v>121.22867467854445</v>
      </c>
      <c r="J55" s="9">
        <f t="shared" si="10"/>
        <v>13.281919451585262</v>
      </c>
      <c r="K55" s="9">
        <f t="shared" si="10"/>
        <v>18.46532622076323</v>
      </c>
      <c r="L55" s="13" t="s">
        <v>5</v>
      </c>
      <c r="M55" s="13" t="s">
        <v>5</v>
      </c>
    </row>
    <row r="56" spans="1:13" ht="12.75">
      <c r="A56" s="3" t="s">
        <v>159</v>
      </c>
      <c r="B56" s="3"/>
      <c r="C56" s="13" t="s">
        <v>5</v>
      </c>
      <c r="D56" s="13" t="s">
        <v>5</v>
      </c>
      <c r="E56" s="13" t="s">
        <v>5</v>
      </c>
      <c r="F56" s="13" t="s">
        <v>5</v>
      </c>
      <c r="G56" s="13" t="s">
        <v>5</v>
      </c>
      <c r="H56" s="13" t="s">
        <v>5</v>
      </c>
      <c r="I56" s="13" t="s">
        <v>5</v>
      </c>
      <c r="J56" s="13" t="s">
        <v>5</v>
      </c>
      <c r="K56" s="13" t="s">
        <v>5</v>
      </c>
      <c r="L56" s="13" t="s">
        <v>5</v>
      </c>
      <c r="M56" s="13" t="s">
        <v>5</v>
      </c>
    </row>
    <row r="57" spans="3:13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ht="12.75">
      <c r="A58" t="s">
        <v>160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10.57421875" style="0" customWidth="1"/>
    <col min="5" max="5" width="12.140625" style="0" customWidth="1"/>
    <col min="6" max="6" width="11.00390625" style="0" customWidth="1"/>
    <col min="7" max="7" width="12.57421875" style="0" customWidth="1"/>
    <col min="8" max="8" width="10.7109375" style="0" customWidth="1"/>
    <col min="9" max="9" width="12.7109375" style="0" customWidth="1"/>
  </cols>
  <sheetData>
    <row r="1" spans="1:8" s="24" customFormat="1" ht="18">
      <c r="A1" s="37" t="s">
        <v>161</v>
      </c>
      <c r="B1" s="29"/>
      <c r="C1" s="29"/>
      <c r="D1" s="29"/>
      <c r="E1" s="29"/>
      <c r="F1" s="29"/>
      <c r="G1" s="29"/>
      <c r="H1" s="29"/>
    </row>
    <row r="2" s="29" customFormat="1" ht="12.75">
      <c r="A2" s="29" t="s">
        <v>162</v>
      </c>
    </row>
    <row r="4" spans="2:12" s="60" customFormat="1" ht="12.75">
      <c r="B4" s="58"/>
      <c r="C4" s="58"/>
      <c r="D4" s="59">
        <v>1970</v>
      </c>
      <c r="E4" s="59"/>
      <c r="F4" s="59">
        <v>1981</v>
      </c>
      <c r="G4" s="59"/>
      <c r="H4" s="59">
        <v>1991</v>
      </c>
      <c r="I4" s="66"/>
      <c r="J4" s="59">
        <v>2001</v>
      </c>
      <c r="K4" s="66"/>
      <c r="L4" s="58"/>
    </row>
    <row r="5" spans="4:11" s="60" customFormat="1" ht="12.75">
      <c r="D5" s="66" t="s">
        <v>163</v>
      </c>
      <c r="E5" s="66" t="s">
        <v>164</v>
      </c>
      <c r="F5" s="66" t="s">
        <v>163</v>
      </c>
      <c r="G5" s="66" t="s">
        <v>164</v>
      </c>
      <c r="H5" s="66" t="s">
        <v>163</v>
      </c>
      <c r="I5" s="66" t="s">
        <v>164</v>
      </c>
      <c r="J5" s="66" t="s">
        <v>163</v>
      </c>
      <c r="K5" s="66" t="s">
        <v>164</v>
      </c>
    </row>
    <row r="6" spans="1:11" s="24" customFormat="1" ht="12.75">
      <c r="A6" s="48" t="s">
        <v>1</v>
      </c>
      <c r="D6" s="49">
        <v>8853660</v>
      </c>
      <c r="E6" s="42">
        <f>SUM(E8:E10)</f>
        <v>100</v>
      </c>
      <c r="F6" s="49">
        <f>SUM(F8:F10)</f>
        <v>10586440</v>
      </c>
      <c r="G6" s="42">
        <f>SUM(G8:G10)</f>
        <v>100</v>
      </c>
      <c r="H6" s="49">
        <v>11852075</v>
      </c>
      <c r="I6" s="42">
        <f>SUM(I8:I10)</f>
        <v>100</v>
      </c>
      <c r="J6" s="49">
        <v>14187169</v>
      </c>
      <c r="K6" s="42">
        <f>SUM(K8:K10)</f>
        <v>100</v>
      </c>
    </row>
    <row r="7" spans="1:11" ht="12.75">
      <c r="A7" s="3" t="s">
        <v>168</v>
      </c>
      <c r="D7" s="9">
        <v>3.81</v>
      </c>
      <c r="E7" s="13" t="s">
        <v>5</v>
      </c>
      <c r="F7" s="9">
        <v>3.53</v>
      </c>
      <c r="G7" s="13" t="s">
        <v>5</v>
      </c>
      <c r="H7" s="9">
        <v>3.28</v>
      </c>
      <c r="I7" s="13" t="s">
        <v>5</v>
      </c>
      <c r="J7" s="9">
        <v>2.9</v>
      </c>
      <c r="K7" s="13" t="s">
        <v>5</v>
      </c>
    </row>
    <row r="8" spans="1:11" ht="12.75">
      <c r="A8" s="3" t="s">
        <v>167</v>
      </c>
      <c r="D8" s="6">
        <v>660353</v>
      </c>
      <c r="E8" s="9">
        <f>(D8/D$6)*100</f>
        <v>7.458531274071965</v>
      </c>
      <c r="F8" s="6">
        <v>1085078</v>
      </c>
      <c r="G8" s="9">
        <f>(F8/F$6)*100</f>
        <v>10.249696781921024</v>
      </c>
      <c r="H8" s="6">
        <v>1581307</v>
      </c>
      <c r="I8" s="9">
        <f>(H8/H$6)*100</f>
        <v>13.342026607155288</v>
      </c>
      <c r="J8" s="6">
        <v>2876572</v>
      </c>
      <c r="K8" s="9">
        <f>(J8/J$6)*100</f>
        <v>20.275870400923537</v>
      </c>
    </row>
    <row r="9" spans="1:11" ht="12.75">
      <c r="A9" s="3" t="s">
        <v>165</v>
      </c>
      <c r="D9" s="6">
        <f>1597532+1701321+1928369</f>
        <v>5227222</v>
      </c>
      <c r="E9" s="9">
        <f aca="true" t="shared" si="0" ref="E9:G10">(D9/D$6)*100</f>
        <v>59.04023872613134</v>
      </c>
      <c r="F9" s="6">
        <f>2260264+2093656+2350407</f>
        <v>6704327</v>
      </c>
      <c r="G9" s="9">
        <f t="shared" si="0"/>
        <v>63.32938173739237</v>
      </c>
      <c r="H9" s="6">
        <f>2754017+2437772+2728736</f>
        <v>7920525</v>
      </c>
      <c r="I9" s="9">
        <f>(H9/H$6)*100</f>
        <v>66.82817143833464</v>
      </c>
      <c r="J9" s="6">
        <v>9634826</v>
      </c>
      <c r="K9" s="9">
        <f>(J9/J$6)*100</f>
        <v>67.91225226118051</v>
      </c>
    </row>
    <row r="10" spans="1:11" ht="12.75">
      <c r="A10" s="3" t="s">
        <v>166</v>
      </c>
      <c r="D10" s="6">
        <f>1367895+798317+406669+210904+88152+94148</f>
        <v>2966085</v>
      </c>
      <c r="E10" s="9">
        <f t="shared" si="0"/>
        <v>33.50122999979669</v>
      </c>
      <c r="F10" s="6">
        <f>1461174+754869+346409+126928+57249+50406</f>
        <v>2797035</v>
      </c>
      <c r="G10" s="9">
        <f t="shared" si="0"/>
        <v>26.420921480686616</v>
      </c>
      <c r="H10" s="6">
        <f>1401133+602423+346687</f>
        <v>2350243</v>
      </c>
      <c r="I10" s="9">
        <f>(H10/H$6)*100</f>
        <v>19.829801954510078</v>
      </c>
      <c r="J10" s="6">
        <v>1675771</v>
      </c>
      <c r="K10" s="9">
        <f>(J10/J$6)*100</f>
        <v>11.811877337895954</v>
      </c>
    </row>
    <row r="11" spans="1:11" ht="12.75">
      <c r="A11" s="3"/>
      <c r="D11" s="6"/>
      <c r="E11" s="9"/>
      <c r="F11" s="6"/>
      <c r="G11" s="9"/>
      <c r="H11" s="6"/>
      <c r="I11" s="9"/>
      <c r="J11" s="6"/>
      <c r="K11" s="9"/>
    </row>
    <row r="12" spans="1:11" ht="12.75">
      <c r="A12" s="3" t="s">
        <v>169</v>
      </c>
      <c r="D12" s="6">
        <f>SUM(D13:D16)</f>
        <v>8853660</v>
      </c>
      <c r="E12" s="9">
        <f>SUM(E13:E16)</f>
        <v>100</v>
      </c>
      <c r="F12" s="6">
        <f>SUM(F13:F15)</f>
        <v>10586440</v>
      </c>
      <c r="G12" s="9">
        <f>SUM(G13:G16)</f>
        <v>100.00000000000001</v>
      </c>
      <c r="H12" s="6">
        <v>11852075</v>
      </c>
      <c r="I12" s="9"/>
      <c r="J12" s="6">
        <v>14187169</v>
      </c>
      <c r="K12" s="9"/>
    </row>
    <row r="13" spans="1:11" ht="12.75">
      <c r="A13" s="3" t="s">
        <v>170</v>
      </c>
      <c r="D13" s="6">
        <v>940053</v>
      </c>
      <c r="E13" s="9">
        <f>(D13/D$12)*100</f>
        <v>10.6176767574088</v>
      </c>
      <c r="F13" s="6">
        <v>1425770</v>
      </c>
      <c r="G13" s="9">
        <f>(F13/F$12)*100</f>
        <v>13.467889110975928</v>
      </c>
      <c r="H13" s="6">
        <f>302644+6536</f>
        <v>309180</v>
      </c>
      <c r="I13" s="9">
        <f>(H13/H$12)*100</f>
        <v>2.608657133877401</v>
      </c>
      <c r="J13" s="6">
        <v>3450509</v>
      </c>
      <c r="K13" s="9">
        <f>(J13/J$12)*100</f>
        <v>24.321335708343224</v>
      </c>
    </row>
    <row r="14" spans="1:11" ht="12.75">
      <c r="A14" s="3" t="s">
        <v>171</v>
      </c>
      <c r="D14" s="6">
        <v>7397707</v>
      </c>
      <c r="E14" s="9">
        <f aca="true" t="shared" si="1" ref="E14:G15">(D14/D$12)*100</f>
        <v>83.55535450875684</v>
      </c>
      <c r="F14" s="6">
        <v>8799062</v>
      </c>
      <c r="G14" s="9">
        <f t="shared" si="1"/>
        <v>83.11634506028467</v>
      </c>
      <c r="H14" s="6">
        <f>8474836+39094</f>
        <v>8513930</v>
      </c>
      <c r="I14" s="9">
        <f>(H14/H$12)*100</f>
        <v>71.8349318579236</v>
      </c>
      <c r="J14" s="6">
        <v>10331293</v>
      </c>
      <c r="K14" s="9">
        <f>(J14/J$12)*100</f>
        <v>72.82138529540319</v>
      </c>
    </row>
    <row r="15" spans="1:11" ht="12.75">
      <c r="A15" s="3" t="s">
        <v>172</v>
      </c>
      <c r="D15" s="6">
        <v>496805</v>
      </c>
      <c r="E15" s="9">
        <f t="shared" si="1"/>
        <v>5.611295215763876</v>
      </c>
      <c r="F15" s="6">
        <v>361608</v>
      </c>
      <c r="G15" s="9">
        <f t="shared" si="1"/>
        <v>3.415765828739406</v>
      </c>
      <c r="H15" s="6">
        <f>308225+2289</f>
        <v>310514</v>
      </c>
      <c r="I15" s="9">
        <f>(H15/H$12)*100</f>
        <v>2.619912546959077</v>
      </c>
      <c r="J15" s="6">
        <v>405367</v>
      </c>
      <c r="K15" s="9">
        <f>(J15/J$12)*100</f>
        <v>2.8572789962535863</v>
      </c>
    </row>
    <row r="16" spans="1:11" ht="12.75">
      <c r="A16" s="3" t="s">
        <v>173</v>
      </c>
      <c r="D16" s="6">
        <v>19095</v>
      </c>
      <c r="E16" s="9">
        <f>(D16/D$12)*100</f>
        <v>0.21567351807049287</v>
      </c>
      <c r="F16" s="12" t="s">
        <v>6</v>
      </c>
      <c r="G16" s="13" t="s">
        <v>6</v>
      </c>
      <c r="H16" s="12" t="s">
        <v>6</v>
      </c>
      <c r="I16" s="13" t="s">
        <v>6</v>
      </c>
      <c r="J16" s="12" t="s">
        <v>6</v>
      </c>
      <c r="K16" s="13" t="s">
        <v>6</v>
      </c>
    </row>
    <row r="17" spans="1:11" ht="12.75">
      <c r="A17" s="3"/>
      <c r="D17" s="6"/>
      <c r="E17" s="9"/>
      <c r="F17" s="12"/>
      <c r="G17" s="13"/>
      <c r="H17" s="12"/>
      <c r="I17" s="13"/>
      <c r="J17" s="12"/>
      <c r="K17" s="13"/>
    </row>
    <row r="18" spans="1:11" ht="12.75">
      <c r="A18" s="3" t="s">
        <v>174</v>
      </c>
      <c r="C18" s="14"/>
      <c r="D18" s="6">
        <f>SUM(D19:D22)</f>
        <v>8448602</v>
      </c>
      <c r="E18" s="9">
        <f>SUM(E19:E22)</f>
        <v>100.00000000000003</v>
      </c>
      <c r="F18" s="6">
        <f>SUM(F19:F22)</f>
        <v>8799062</v>
      </c>
      <c r="G18" s="9">
        <f>SUM(G19:G22)</f>
        <v>100</v>
      </c>
      <c r="H18" s="6">
        <v>10308765</v>
      </c>
      <c r="I18" s="9">
        <f>SUM(I19:I22)</f>
        <v>100</v>
      </c>
      <c r="J18" s="6">
        <v>11162937</v>
      </c>
      <c r="K18" s="9">
        <f>SUM(K19:K22)</f>
        <v>100</v>
      </c>
    </row>
    <row r="19" spans="1:11" ht="12.75">
      <c r="A19" s="3" t="s">
        <v>175</v>
      </c>
      <c r="D19" s="6">
        <v>1700852</v>
      </c>
      <c r="E19" s="9">
        <f>(D19/D$18)*100</f>
        <v>20.131756709571597</v>
      </c>
      <c r="F19" s="6">
        <v>1897998</v>
      </c>
      <c r="G19" s="9">
        <f>(F19/F$18)*100</f>
        <v>21.570458305669398</v>
      </c>
      <c r="H19" s="6">
        <v>2502137</v>
      </c>
      <c r="I19" s="9">
        <f>(H19/H$18)*100</f>
        <v>24.271937521128866</v>
      </c>
      <c r="J19" s="6">
        <v>3042409</v>
      </c>
      <c r="K19" s="9">
        <f>(J19/J$18)*100</f>
        <v>27.254556753298885</v>
      </c>
    </row>
    <row r="20" spans="1:11" ht="12.75">
      <c r="A20" s="3" t="s">
        <v>176</v>
      </c>
      <c r="D20" s="6">
        <v>5916595</v>
      </c>
      <c r="E20" s="9">
        <f aca="true" t="shared" si="2" ref="E20:G22">(D20/D$18)*100</f>
        <v>70.03046184445664</v>
      </c>
      <c r="F20" s="6">
        <v>6148987</v>
      </c>
      <c r="G20" s="9">
        <f t="shared" si="2"/>
        <v>69.8823010907299</v>
      </c>
      <c r="H20" s="6">
        <v>6667479</v>
      </c>
      <c r="I20" s="9">
        <f>(H20/H$18)*100</f>
        <v>64.67776692940424</v>
      </c>
      <c r="J20" s="6">
        <v>6468408</v>
      </c>
      <c r="K20" s="9">
        <f>(J20/J$18)*100</f>
        <v>57.94539555315953</v>
      </c>
    </row>
    <row r="21" spans="1:11" ht="12.75">
      <c r="A21" s="3" t="s">
        <v>177</v>
      </c>
      <c r="D21" s="6">
        <v>179432</v>
      </c>
      <c r="E21" s="9">
        <f t="shared" si="2"/>
        <v>2.1238069919733467</v>
      </c>
      <c r="F21" s="6">
        <v>135241</v>
      </c>
      <c r="G21" s="9">
        <f t="shared" si="2"/>
        <v>1.5369933749756508</v>
      </c>
      <c r="H21" s="6">
        <v>194016</v>
      </c>
      <c r="I21" s="9">
        <f>(H21/H$18)*100</f>
        <v>1.8820489166258034</v>
      </c>
      <c r="J21" s="6">
        <v>322160</v>
      </c>
      <c r="K21" s="9">
        <f>(J21/J$18)*100</f>
        <v>2.8859788423064647</v>
      </c>
    </row>
    <row r="22" spans="1:11" ht="12.75">
      <c r="A22" s="3" t="s">
        <v>178</v>
      </c>
      <c r="D22" s="6">
        <v>651723</v>
      </c>
      <c r="E22" s="9">
        <f t="shared" si="2"/>
        <v>7.713974453998425</v>
      </c>
      <c r="F22" s="6">
        <v>616836</v>
      </c>
      <c r="G22" s="9">
        <f t="shared" si="2"/>
        <v>7.010247228625051</v>
      </c>
      <c r="H22" s="6">
        <v>945133</v>
      </c>
      <c r="I22" s="9">
        <f>(H22/H$18)*100</f>
        <v>9.168246632841083</v>
      </c>
      <c r="J22" s="6">
        <v>1329960</v>
      </c>
      <c r="K22" s="9">
        <f>(J22/J$18)*100</f>
        <v>11.914068851235118</v>
      </c>
    </row>
    <row r="24" ht="12.75">
      <c r="A24" t="s">
        <v>179</v>
      </c>
    </row>
    <row r="25" ht="12.75">
      <c r="A25" t="s">
        <v>180</v>
      </c>
    </row>
    <row r="35" s="24" customFormat="1" ht="12.75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7.7109375" style="0" customWidth="1"/>
  </cols>
  <sheetData>
    <row r="1" spans="1:8" s="24" customFormat="1" ht="18">
      <c r="A1" s="32" t="s">
        <v>182</v>
      </c>
      <c r="B1" s="29"/>
      <c r="C1" s="29"/>
      <c r="D1" s="29"/>
      <c r="E1" s="29"/>
      <c r="F1" s="29"/>
      <c r="G1" s="29"/>
      <c r="H1" s="29"/>
    </row>
    <row r="2" spans="1:6" s="24" customFormat="1" ht="18">
      <c r="A2" s="32" t="s">
        <v>181</v>
      </c>
      <c r="B2" s="29"/>
      <c r="C2" s="29"/>
      <c r="D2" s="29"/>
      <c r="E2" s="29"/>
      <c r="F2" s="29"/>
    </row>
    <row r="3" spans="1:6" s="24" customFormat="1" ht="18">
      <c r="A3" s="32"/>
      <c r="B3" s="29"/>
      <c r="C3" s="29"/>
      <c r="D3" s="29"/>
      <c r="E3" s="29"/>
      <c r="F3" s="29"/>
    </row>
    <row r="4" spans="1:7" s="60" customFormat="1" ht="12.75">
      <c r="A4" s="58"/>
      <c r="B4" s="58" t="s">
        <v>38</v>
      </c>
      <c r="C4" s="58"/>
      <c r="D4" s="58"/>
      <c r="E4" s="58"/>
      <c r="F4" s="58"/>
      <c r="G4" s="58"/>
    </row>
    <row r="5" spans="1:7" s="60" customFormat="1" ht="12.75">
      <c r="A5" s="58" t="s">
        <v>183</v>
      </c>
      <c r="B5" s="59">
        <v>1950</v>
      </c>
      <c r="C5" s="59">
        <v>1960</v>
      </c>
      <c r="D5" s="59">
        <v>1970</v>
      </c>
      <c r="E5" s="59">
        <v>1981</v>
      </c>
      <c r="F5" s="59">
        <v>1991</v>
      </c>
      <c r="G5" s="59">
        <v>2001</v>
      </c>
    </row>
    <row r="6" spans="1:12" s="24" customFormat="1" ht="12.75">
      <c r="A6" s="45" t="s">
        <v>124</v>
      </c>
      <c r="B6" s="46">
        <v>10793.1</v>
      </c>
      <c r="C6" s="46">
        <v>11816.6</v>
      </c>
      <c r="D6" s="46">
        <v>11907.8</v>
      </c>
      <c r="E6" s="46">
        <v>12797</v>
      </c>
      <c r="F6" s="46">
        <v>15398.6</v>
      </c>
      <c r="G6" s="46">
        <v>16330</v>
      </c>
      <c r="H6" s="29"/>
      <c r="I6" s="29"/>
      <c r="J6" s="47"/>
      <c r="K6" s="47"/>
      <c r="L6" s="47"/>
    </row>
    <row r="7" spans="1:12" ht="12.75">
      <c r="A7" s="3"/>
      <c r="B7" s="6"/>
      <c r="C7" s="6"/>
      <c r="D7" s="6"/>
      <c r="E7" s="6"/>
      <c r="F7" s="6"/>
      <c r="G7" s="6"/>
      <c r="J7" s="9"/>
      <c r="K7" s="9"/>
      <c r="L7" s="9"/>
    </row>
    <row r="8" spans="1:12" ht="12.75">
      <c r="A8" s="3" t="s">
        <v>185</v>
      </c>
      <c r="B8" s="6">
        <v>360.3</v>
      </c>
      <c r="C8" s="6">
        <v>485.5</v>
      </c>
      <c r="D8" s="6">
        <v>646.6</v>
      </c>
      <c r="E8" s="6">
        <v>1103.6</v>
      </c>
      <c r="F8" s="6">
        <v>1927</v>
      </c>
      <c r="G8" s="6">
        <v>3758</v>
      </c>
      <c r="J8" s="9"/>
      <c r="K8" s="9"/>
      <c r="L8" s="9"/>
    </row>
    <row r="9" spans="1:12" ht="12.75">
      <c r="A9" s="3" t="s">
        <v>186</v>
      </c>
      <c r="B9" s="6"/>
      <c r="C9" s="6"/>
      <c r="D9" s="6"/>
      <c r="E9" s="6"/>
      <c r="F9" s="6"/>
      <c r="G9" s="6"/>
      <c r="J9" s="9"/>
      <c r="K9" s="9"/>
      <c r="L9" s="9"/>
    </row>
    <row r="10" spans="1:12" ht="12.75">
      <c r="A10" s="3" t="s">
        <v>187</v>
      </c>
      <c r="B10" s="6">
        <v>792.5</v>
      </c>
      <c r="C10" s="6">
        <v>121.2</v>
      </c>
      <c r="D10" s="6">
        <v>103.3</v>
      </c>
      <c r="E10" s="6">
        <v>190.8</v>
      </c>
      <c r="F10" s="6">
        <v>237.1</v>
      </c>
      <c r="G10" s="6">
        <v>1316</v>
      </c>
      <c r="J10" s="9"/>
      <c r="K10" s="9"/>
      <c r="L10" s="9"/>
    </row>
    <row r="11" spans="1:12" ht="12.75">
      <c r="A11" s="3" t="s">
        <v>188</v>
      </c>
      <c r="B11" s="12" t="s">
        <v>6</v>
      </c>
      <c r="C11" s="6">
        <v>606.2</v>
      </c>
      <c r="D11" s="6">
        <v>984.8</v>
      </c>
      <c r="E11" s="6">
        <v>1451.4</v>
      </c>
      <c r="F11" s="6">
        <v>2013.6</v>
      </c>
      <c r="G11" s="6">
        <v>1586</v>
      </c>
      <c r="J11" s="9"/>
      <c r="K11" s="9"/>
      <c r="L11" s="9"/>
    </row>
    <row r="12" spans="1:12" ht="12.75">
      <c r="A12" s="3" t="s">
        <v>189</v>
      </c>
      <c r="B12" s="6">
        <v>353.2</v>
      </c>
      <c r="C12" s="6">
        <v>763.7</v>
      </c>
      <c r="D12" s="6">
        <v>974.5</v>
      </c>
      <c r="E12" s="6">
        <v>1111.6</v>
      </c>
      <c r="F12" s="6">
        <v>1702</v>
      </c>
      <c r="G12" s="6">
        <v>1024</v>
      </c>
      <c r="J12" s="9"/>
      <c r="K12" s="9"/>
      <c r="L12" s="9"/>
    </row>
    <row r="13" spans="1:12" ht="12.75">
      <c r="A13" s="3" t="s">
        <v>190</v>
      </c>
      <c r="B13" s="6"/>
      <c r="C13" s="6"/>
      <c r="D13" s="6"/>
      <c r="E13" s="6"/>
      <c r="F13" s="6"/>
      <c r="G13" s="6"/>
      <c r="J13" s="9"/>
      <c r="K13" s="9"/>
      <c r="L13" s="9"/>
    </row>
    <row r="14" spans="1:12" ht="12.75">
      <c r="A14" s="3" t="s">
        <v>191</v>
      </c>
      <c r="B14" s="6">
        <v>791.3</v>
      </c>
      <c r="C14" s="6">
        <v>850.6</v>
      </c>
      <c r="D14" s="6">
        <v>1108.8</v>
      </c>
      <c r="E14" s="6">
        <v>1201.6</v>
      </c>
      <c r="F14" s="6">
        <v>1778.6</v>
      </c>
      <c r="G14" s="6">
        <v>1404</v>
      </c>
      <c r="J14" s="9"/>
      <c r="K14" s="9"/>
      <c r="L14" s="9"/>
    </row>
    <row r="15" spans="1:12" ht="12.75">
      <c r="A15" s="3" t="s">
        <v>192</v>
      </c>
      <c r="B15" s="6"/>
      <c r="C15" s="6"/>
      <c r="D15" s="6"/>
      <c r="E15" s="6"/>
      <c r="F15" s="6"/>
      <c r="G15" s="6"/>
      <c r="J15" s="9"/>
      <c r="K15" s="9"/>
      <c r="L15" s="9"/>
    </row>
    <row r="16" spans="1:12" ht="12.75">
      <c r="A16" s="3" t="s">
        <v>193</v>
      </c>
      <c r="B16" s="6">
        <v>5237.2</v>
      </c>
      <c r="C16" s="6">
        <v>4672.3</v>
      </c>
      <c r="D16" s="6">
        <v>2916.5</v>
      </c>
      <c r="E16" s="6">
        <v>1842.2</v>
      </c>
      <c r="F16" s="6">
        <v>913.4</v>
      </c>
      <c r="G16" s="6">
        <v>597</v>
      </c>
      <c r="J16" s="9"/>
      <c r="K16" s="9"/>
      <c r="L16" s="9"/>
    </row>
    <row r="17" spans="1:12" ht="12.75">
      <c r="A17" s="3" t="s">
        <v>196</v>
      </c>
      <c r="B17" s="6">
        <v>2963.7</v>
      </c>
      <c r="C17" s="6">
        <v>3725.2</v>
      </c>
      <c r="D17" s="6">
        <v>4853.3</v>
      </c>
      <c r="E17" s="6">
        <v>4858.3</v>
      </c>
      <c r="F17" s="6">
        <v>4043.7</v>
      </c>
      <c r="G17" s="6">
        <v>4541</v>
      </c>
      <c r="J17" s="9"/>
      <c r="K17" s="9"/>
      <c r="L17" s="9"/>
    </row>
    <row r="18" spans="1:12" ht="12.75">
      <c r="A18" s="3" t="s">
        <v>194</v>
      </c>
      <c r="B18" s="6">
        <v>92</v>
      </c>
      <c r="C18" s="6">
        <v>424.6</v>
      </c>
      <c r="D18" s="6">
        <v>177.8</v>
      </c>
      <c r="E18" s="6">
        <v>128.2</v>
      </c>
      <c r="F18" s="6">
        <v>1783.9</v>
      </c>
      <c r="G18" s="6">
        <v>1997</v>
      </c>
      <c r="J18" s="9"/>
      <c r="K18" s="9"/>
      <c r="L18" s="9"/>
    </row>
    <row r="19" spans="1:12" ht="12.75">
      <c r="A19" s="3" t="s">
        <v>195</v>
      </c>
      <c r="B19" s="6">
        <v>202.9</v>
      </c>
      <c r="C19" s="6">
        <v>167.3</v>
      </c>
      <c r="D19" s="6">
        <v>142.5</v>
      </c>
      <c r="E19" s="6">
        <v>107.1</v>
      </c>
      <c r="F19" s="6">
        <v>114.9</v>
      </c>
      <c r="G19" s="6">
        <v>106</v>
      </c>
      <c r="J19" s="9"/>
      <c r="K19" s="9"/>
      <c r="L19" s="9"/>
    </row>
    <row r="20" spans="1:12" ht="12.75">
      <c r="A20" s="3" t="s">
        <v>159</v>
      </c>
      <c r="B20" s="13" t="s">
        <v>5</v>
      </c>
      <c r="C20" s="13" t="s">
        <v>5</v>
      </c>
      <c r="D20" s="13" t="s">
        <v>5</v>
      </c>
      <c r="E20" s="9">
        <v>801.9</v>
      </c>
      <c r="F20" s="9">
        <v>884.4</v>
      </c>
      <c r="G20" s="13" t="s">
        <v>5</v>
      </c>
      <c r="J20" s="9"/>
      <c r="K20" s="9"/>
      <c r="L20" s="9"/>
    </row>
    <row r="21" spans="1:12" ht="12.75">
      <c r="A21" s="3"/>
      <c r="B21" s="13"/>
      <c r="C21" s="13"/>
      <c r="D21" s="13"/>
      <c r="E21" s="9"/>
      <c r="F21" s="9"/>
      <c r="J21" s="9"/>
      <c r="K21" s="9"/>
      <c r="L21" s="9"/>
    </row>
    <row r="22" spans="1:12" ht="12.75">
      <c r="A22" s="19" t="s">
        <v>126</v>
      </c>
      <c r="E22" s="9"/>
      <c r="G22" s="9"/>
      <c r="H22" s="9"/>
      <c r="I22" s="9"/>
      <c r="J22" s="9"/>
      <c r="K22" s="9"/>
      <c r="L22" s="9"/>
    </row>
    <row r="23" spans="1:12" ht="12.75">
      <c r="A23" s="3" t="s">
        <v>1</v>
      </c>
      <c r="E23" s="9"/>
      <c r="F23" s="9"/>
      <c r="G23" s="9"/>
      <c r="H23" s="9"/>
      <c r="I23" s="9"/>
      <c r="J23" s="9"/>
      <c r="K23" s="9"/>
      <c r="L23" s="9"/>
    </row>
    <row r="24" spans="1:12" ht="12.75">
      <c r="A24" s="3" t="s">
        <v>185</v>
      </c>
      <c r="B24" s="9">
        <f aca="true" t="shared" si="0" ref="B24:G24">(B8/B$6)*1000</f>
        <v>33.382438780331874</v>
      </c>
      <c r="C24" s="9">
        <f t="shared" si="0"/>
        <v>41.0862684697798</v>
      </c>
      <c r="D24" s="9">
        <f t="shared" si="0"/>
        <v>54.300542501553615</v>
      </c>
      <c r="E24" s="9">
        <f t="shared" si="0"/>
        <v>86.23896225677892</v>
      </c>
      <c r="F24" s="9">
        <f t="shared" si="0"/>
        <v>125.14124660683437</v>
      </c>
      <c r="G24" s="9">
        <f t="shared" si="0"/>
        <v>230.1285976729945</v>
      </c>
      <c r="J24" s="9"/>
      <c r="K24" s="9"/>
      <c r="L24" s="9"/>
    </row>
    <row r="25" spans="1:12" ht="12.75">
      <c r="A25" s="3" t="s">
        <v>186</v>
      </c>
      <c r="B25" s="9"/>
      <c r="C25" s="9"/>
      <c r="D25" s="9"/>
      <c r="E25" s="9"/>
      <c r="F25" s="9"/>
      <c r="G25" s="9"/>
      <c r="J25" s="9"/>
      <c r="K25" s="9"/>
      <c r="L25" s="9"/>
    </row>
    <row r="26" spans="1:12" ht="12.75">
      <c r="A26" s="3" t="s">
        <v>187</v>
      </c>
      <c r="B26" s="9">
        <f>(B10/B$6)*1000</f>
        <v>73.42654103084378</v>
      </c>
      <c r="C26" s="9">
        <f>(C10/C$6)*1000</f>
        <v>10.256757442919282</v>
      </c>
      <c r="D26" s="9">
        <f>(D10/D$6)*1000</f>
        <v>8.67498614353617</v>
      </c>
      <c r="E26" s="9">
        <f>(E10/E$6)*1000</f>
        <v>14.909744471360476</v>
      </c>
      <c r="F26" s="9">
        <f aca="true" t="shared" si="1" ref="F26:G36">(F10/F$6)*1000</f>
        <v>15.39750366916473</v>
      </c>
      <c r="G26" s="9">
        <f t="shared" si="1"/>
        <v>80.58787507654623</v>
      </c>
      <c r="J26" s="9"/>
      <c r="K26" s="9"/>
      <c r="L26" s="9"/>
    </row>
    <row r="27" spans="1:12" ht="12.75">
      <c r="A27" s="3" t="s">
        <v>188</v>
      </c>
      <c r="B27" s="13" t="s">
        <v>6</v>
      </c>
      <c r="C27" s="9">
        <v>51.3</v>
      </c>
      <c r="D27" s="9">
        <v>82.7</v>
      </c>
      <c r="E27" s="9">
        <v>113.4</v>
      </c>
      <c r="F27" s="9">
        <f t="shared" si="1"/>
        <v>130.76513449274609</v>
      </c>
      <c r="G27" s="9">
        <f t="shared" si="1"/>
        <v>97.12186160440906</v>
      </c>
      <c r="J27" s="9"/>
      <c r="K27" s="9"/>
      <c r="L27" s="9"/>
    </row>
    <row r="28" spans="1:12" ht="12.75">
      <c r="A28" s="3" t="s">
        <v>189</v>
      </c>
      <c r="B28" s="9">
        <f>(B12/B$6)*1000</f>
        <v>32.724611094124946</v>
      </c>
      <c r="C28" s="9">
        <v>64.6</v>
      </c>
      <c r="D28" s="9">
        <v>81.8</v>
      </c>
      <c r="E28" s="9">
        <v>86.9</v>
      </c>
      <c r="F28" s="9">
        <f t="shared" si="1"/>
        <v>110.52952865844946</v>
      </c>
      <c r="G28" s="9">
        <f t="shared" si="1"/>
        <v>62.70667483159828</v>
      </c>
      <c r="J28" s="9"/>
      <c r="K28" s="9"/>
      <c r="L28" s="9"/>
    </row>
    <row r="29" spans="1:12" ht="12.75">
      <c r="A29" s="3" t="s">
        <v>190</v>
      </c>
      <c r="B29" s="9"/>
      <c r="C29" s="9"/>
      <c r="D29" s="9"/>
      <c r="E29" s="9"/>
      <c r="F29" s="9"/>
      <c r="G29" s="9"/>
      <c r="J29" s="9"/>
      <c r="K29" s="9"/>
      <c r="L29" s="9"/>
    </row>
    <row r="30" spans="1:12" ht="12.75">
      <c r="A30" s="3" t="s">
        <v>191</v>
      </c>
      <c r="B30" s="9">
        <v>73.3</v>
      </c>
      <c r="C30" s="9">
        <v>72</v>
      </c>
      <c r="D30" s="9">
        <v>93.1</v>
      </c>
      <c r="E30" s="9">
        <v>93.9</v>
      </c>
      <c r="F30" s="9">
        <f t="shared" si="1"/>
        <v>115.50400685776629</v>
      </c>
      <c r="G30" s="9">
        <f t="shared" si="1"/>
        <v>85.97672994488671</v>
      </c>
      <c r="J30" s="9"/>
      <c r="K30" s="9"/>
      <c r="L30" s="9"/>
    </row>
    <row r="31" spans="1:12" ht="12.75">
      <c r="A31" s="3" t="s">
        <v>192</v>
      </c>
      <c r="B31" s="9"/>
      <c r="C31" s="9"/>
      <c r="D31" s="9"/>
      <c r="E31" s="9"/>
      <c r="F31" s="9"/>
      <c r="G31" s="9"/>
      <c r="J31" s="9"/>
      <c r="K31" s="9"/>
      <c r="L31" s="9"/>
    </row>
    <row r="32" spans="1:12" ht="12.75">
      <c r="A32" s="3" t="s">
        <v>193</v>
      </c>
      <c r="B32" s="9">
        <f>(B16/B$6)*1000</f>
        <v>485.23593777506</v>
      </c>
      <c r="C32" s="9">
        <v>395.4</v>
      </c>
      <c r="D32" s="9">
        <v>244.9</v>
      </c>
      <c r="E32" s="9">
        <v>143.9</v>
      </c>
      <c r="F32" s="9">
        <f t="shared" si="1"/>
        <v>59.31708077357681</v>
      </c>
      <c r="G32" s="9">
        <f t="shared" si="1"/>
        <v>36.558481322718926</v>
      </c>
      <c r="J32" s="9"/>
      <c r="K32" s="9"/>
      <c r="L32" s="9"/>
    </row>
    <row r="33" spans="1:12" ht="12.75">
      <c r="A33" s="3" t="s">
        <v>196</v>
      </c>
      <c r="B33" s="9">
        <f>(B17/B$6)*1000</f>
        <v>274.5921005086583</v>
      </c>
      <c r="C33" s="9">
        <v>315.2</v>
      </c>
      <c r="D33" s="9">
        <v>407.6</v>
      </c>
      <c r="E33" s="9">
        <v>379.7</v>
      </c>
      <c r="F33" s="9">
        <f t="shared" si="1"/>
        <v>262.6017949683737</v>
      </c>
      <c r="G33" s="9">
        <f t="shared" si="1"/>
        <v>278.07715860379665</v>
      </c>
      <c r="J33" s="9"/>
      <c r="K33" s="9"/>
      <c r="L33" s="9"/>
    </row>
    <row r="34" spans="1:12" ht="12.75">
      <c r="A34" s="3" t="s">
        <v>194</v>
      </c>
      <c r="B34" s="9">
        <f>(B18/B$6)*1000</f>
        <v>8.523964384653159</v>
      </c>
      <c r="C34" s="9">
        <v>35.9</v>
      </c>
      <c r="D34" s="9">
        <v>14.9</v>
      </c>
      <c r="E34" s="9">
        <v>10</v>
      </c>
      <c r="F34" s="9">
        <f t="shared" si="1"/>
        <v>115.84819399166159</v>
      </c>
      <c r="G34" s="9">
        <f t="shared" si="1"/>
        <v>122.2902633190447</v>
      </c>
      <c r="J34" s="9"/>
      <c r="K34" s="9"/>
      <c r="L34" s="9"/>
    </row>
    <row r="35" spans="1:12" s="24" customFormat="1" ht="12.75">
      <c r="A35" s="48" t="s">
        <v>195</v>
      </c>
      <c r="B35" s="77">
        <f>(B19/B$6)*1000</f>
        <v>18.7990475396318</v>
      </c>
      <c r="C35" s="77">
        <v>14.2</v>
      </c>
      <c r="D35" s="77">
        <v>12</v>
      </c>
      <c r="E35" s="77">
        <v>8.4</v>
      </c>
      <c r="F35" s="77">
        <f t="shared" si="1"/>
        <v>7.461717298975231</v>
      </c>
      <c r="G35" s="77">
        <f t="shared" si="1"/>
        <v>6.491120636864666</v>
      </c>
      <c r="J35" s="77"/>
      <c r="K35" s="77"/>
      <c r="L35" s="77"/>
    </row>
    <row r="36" spans="1:12" ht="12.75">
      <c r="A36" s="3" t="s">
        <v>159</v>
      </c>
      <c r="B36" s="13" t="s">
        <v>5</v>
      </c>
      <c r="C36" s="13" t="s">
        <v>5</v>
      </c>
      <c r="D36" s="13" t="s">
        <v>5</v>
      </c>
      <c r="E36" s="9">
        <v>62.7</v>
      </c>
      <c r="F36" s="9">
        <f t="shared" si="1"/>
        <v>57.433792682451646</v>
      </c>
      <c r="G36" s="13" t="s">
        <v>5</v>
      </c>
      <c r="J36" s="9"/>
      <c r="K36" s="9"/>
      <c r="L36" s="9"/>
    </row>
    <row r="37" spans="5:12" ht="12.75">
      <c r="E37" s="9"/>
      <c r="F37" s="9"/>
      <c r="G37" s="9"/>
      <c r="H37" s="9"/>
      <c r="I37" s="9"/>
      <c r="J37" s="9"/>
      <c r="K37" s="9"/>
      <c r="L37" s="9"/>
    </row>
    <row r="38" spans="5:12" ht="12.75">
      <c r="E38" s="9"/>
      <c r="F38" s="9"/>
      <c r="G38" s="9"/>
      <c r="H38" s="9"/>
      <c r="I38" s="9"/>
      <c r="J38" s="9"/>
      <c r="K38" s="9"/>
      <c r="L38" s="9"/>
    </row>
    <row r="39" ht="12.75">
      <c r="A39" t="s">
        <v>184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2.00390625" style="20" customWidth="1"/>
    <col min="2" max="2" width="15.421875" style="20" customWidth="1"/>
    <col min="3" max="3" width="11.57421875" style="20" customWidth="1"/>
    <col min="4" max="5" width="14.421875" style="20" customWidth="1"/>
    <col min="6" max="16384" width="11.57421875" style="20" customWidth="1"/>
  </cols>
  <sheetData>
    <row r="1" spans="1:5" s="25" customFormat="1" ht="18">
      <c r="A1" s="34" t="s">
        <v>37</v>
      </c>
      <c r="B1" s="35"/>
      <c r="C1" s="35"/>
      <c r="D1" s="35"/>
      <c r="E1" s="35"/>
    </row>
    <row r="2" spans="1:5" s="25" customFormat="1" ht="18">
      <c r="A2" s="36" t="s">
        <v>36</v>
      </c>
      <c r="B2" s="35"/>
      <c r="C2" s="35"/>
      <c r="D2" s="35"/>
      <c r="E2" s="35"/>
    </row>
    <row r="3" spans="6:8" ht="12.75">
      <c r="F3" s="25"/>
      <c r="G3" s="25"/>
      <c r="H3" s="25"/>
    </row>
    <row r="4" s="25" customFormat="1" ht="12.75"/>
    <row r="5" spans="1:4" s="63" customFormat="1" ht="15.75">
      <c r="A5" s="76" t="s">
        <v>38</v>
      </c>
      <c r="B5" s="76" t="s">
        <v>1</v>
      </c>
      <c r="C5" s="76" t="s">
        <v>39</v>
      </c>
      <c r="D5" s="76" t="s">
        <v>40</v>
      </c>
    </row>
    <row r="6" spans="1:4" s="25" customFormat="1" ht="12.75">
      <c r="A6" s="50">
        <v>1594</v>
      </c>
      <c r="B6" s="51">
        <v>8206791</v>
      </c>
      <c r="C6" s="52" t="s">
        <v>5</v>
      </c>
      <c r="D6" s="52" t="s">
        <v>5</v>
      </c>
    </row>
    <row r="7" spans="1:4" ht="12.75">
      <c r="A7" s="33" t="s">
        <v>3</v>
      </c>
      <c r="B7" s="21">
        <v>9309804</v>
      </c>
      <c r="C7" s="20">
        <v>4655776</v>
      </c>
      <c r="D7" s="20">
        <v>4654028</v>
      </c>
    </row>
    <row r="8" spans="1:4" ht="12.75">
      <c r="A8" s="33">
        <v>1787</v>
      </c>
      <c r="B8" s="21">
        <v>10409879</v>
      </c>
      <c r="C8" s="20">
        <v>5204187</v>
      </c>
      <c r="D8" s="20">
        <v>5205692</v>
      </c>
    </row>
    <row r="9" spans="1:4" ht="12.75">
      <c r="A9" s="33">
        <v>1797</v>
      </c>
      <c r="B9" s="21">
        <v>10541221</v>
      </c>
      <c r="C9" s="20">
        <v>5220299</v>
      </c>
      <c r="D9" s="20">
        <v>5320922</v>
      </c>
    </row>
    <row r="11" ht="12.75">
      <c r="A11" s="20" t="s">
        <v>41</v>
      </c>
    </row>
    <row r="12" spans="1:2" ht="12.75">
      <c r="A12" s="33">
        <v>1591</v>
      </c>
      <c r="B12" s="20" t="s">
        <v>45</v>
      </c>
    </row>
    <row r="13" spans="1:2" ht="12.75">
      <c r="A13" s="33" t="s">
        <v>3</v>
      </c>
      <c r="B13" s="20" t="s">
        <v>43</v>
      </c>
    </row>
    <row r="14" spans="1:2" ht="12.75">
      <c r="A14" s="33">
        <v>1787</v>
      </c>
      <c r="B14" s="20" t="s">
        <v>44</v>
      </c>
    </row>
    <row r="15" spans="1:2" ht="12.75">
      <c r="A15" s="33">
        <v>1797</v>
      </c>
      <c r="B15" s="20" t="s">
        <v>42</v>
      </c>
    </row>
    <row r="35" s="25" customFormat="1" ht="12.75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13" width="9.7109375" style="0" customWidth="1"/>
    <col min="14" max="31" width="8.00390625" style="0" customWidth="1"/>
  </cols>
  <sheetData>
    <row r="1" spans="1:8" s="24" customFormat="1" ht="18">
      <c r="A1" s="32" t="s">
        <v>46</v>
      </c>
      <c r="B1" s="29"/>
      <c r="C1" s="29"/>
      <c r="D1" s="29"/>
      <c r="E1" s="29"/>
      <c r="F1" s="29"/>
      <c r="G1" s="29"/>
      <c r="H1" s="29"/>
    </row>
    <row r="2" s="29" customFormat="1" ht="15">
      <c r="A2" s="44" t="s">
        <v>122</v>
      </c>
    </row>
    <row r="4" spans="1:34" s="60" customFormat="1" ht="12.75">
      <c r="A4" s="66" t="s">
        <v>47</v>
      </c>
      <c r="B4" s="66" t="s">
        <v>48</v>
      </c>
      <c r="C4" s="58"/>
      <c r="D4" s="58" t="s">
        <v>7</v>
      </c>
      <c r="E4" s="58"/>
      <c r="F4" s="58" t="s">
        <v>7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60" customFormat="1" ht="15.75">
      <c r="A5" s="66"/>
      <c r="B5" s="75">
        <v>1900</v>
      </c>
      <c r="C5" s="75"/>
      <c r="D5" s="75"/>
      <c r="E5" s="75">
        <v>1910</v>
      </c>
      <c r="F5" s="75"/>
      <c r="G5" s="75"/>
      <c r="H5" s="75">
        <v>1920</v>
      </c>
      <c r="I5" s="75"/>
      <c r="J5" s="75"/>
      <c r="K5" s="75">
        <v>1930</v>
      </c>
      <c r="L5" s="75"/>
      <c r="M5" s="75"/>
      <c r="N5" s="75">
        <v>1940</v>
      </c>
      <c r="O5" s="75"/>
      <c r="P5" s="75"/>
      <c r="Q5" s="75">
        <v>1950</v>
      </c>
      <c r="R5" s="75"/>
      <c r="S5" s="75"/>
      <c r="T5" s="75">
        <v>1960</v>
      </c>
      <c r="U5" s="75"/>
      <c r="V5" s="75"/>
      <c r="W5" s="75">
        <v>1970</v>
      </c>
      <c r="X5" s="75"/>
      <c r="Y5" s="75"/>
      <c r="Z5" s="75">
        <v>1981</v>
      </c>
      <c r="AA5" s="75"/>
      <c r="AB5" s="75"/>
      <c r="AC5" s="75">
        <v>1991</v>
      </c>
      <c r="AD5" s="58"/>
      <c r="AE5" s="58"/>
      <c r="AF5" s="75">
        <v>2001</v>
      </c>
      <c r="AG5" s="58"/>
      <c r="AH5" s="58"/>
    </row>
    <row r="6" spans="1:34" s="60" customFormat="1" ht="12.75">
      <c r="A6" s="66"/>
      <c r="B6" s="66" t="s">
        <v>1</v>
      </c>
      <c r="C6" s="66" t="s">
        <v>49</v>
      </c>
      <c r="D6" s="66" t="s">
        <v>50</v>
      </c>
      <c r="E6" s="66" t="s">
        <v>1</v>
      </c>
      <c r="F6" s="66" t="s">
        <v>49</v>
      </c>
      <c r="G6" s="66" t="s">
        <v>50</v>
      </c>
      <c r="H6" s="66" t="s">
        <v>1</v>
      </c>
      <c r="I6" s="66" t="s">
        <v>49</v>
      </c>
      <c r="J6" s="66" t="s">
        <v>50</v>
      </c>
      <c r="K6" s="66" t="s">
        <v>1</v>
      </c>
      <c r="L6" s="66" t="s">
        <v>49</v>
      </c>
      <c r="M6" s="66" t="s">
        <v>50</v>
      </c>
      <c r="N6" s="66" t="s">
        <v>1</v>
      </c>
      <c r="O6" s="66" t="s">
        <v>49</v>
      </c>
      <c r="P6" s="66" t="s">
        <v>50</v>
      </c>
      <c r="Q6" s="66" t="s">
        <v>1</v>
      </c>
      <c r="R6" s="66" t="s">
        <v>49</v>
      </c>
      <c r="S6" s="66" t="s">
        <v>50</v>
      </c>
      <c r="T6" s="66" t="s">
        <v>1</v>
      </c>
      <c r="U6" s="66" t="s">
        <v>49</v>
      </c>
      <c r="V6" s="66" t="s">
        <v>50</v>
      </c>
      <c r="W6" s="66" t="s">
        <v>1</v>
      </c>
      <c r="X6" s="66" t="s">
        <v>49</v>
      </c>
      <c r="Y6" s="66" t="s">
        <v>50</v>
      </c>
      <c r="Z6" s="66" t="s">
        <v>1</v>
      </c>
      <c r="AA6" s="66" t="s">
        <v>49</v>
      </c>
      <c r="AB6" s="66" t="s">
        <v>50</v>
      </c>
      <c r="AC6" s="66" t="s">
        <v>1</v>
      </c>
      <c r="AD6" s="66" t="s">
        <v>49</v>
      </c>
      <c r="AE6" s="66" t="s">
        <v>50</v>
      </c>
      <c r="AF6" s="66" t="s">
        <v>1</v>
      </c>
      <c r="AG6" s="66" t="s">
        <v>49</v>
      </c>
      <c r="AH6" s="66" t="s">
        <v>50</v>
      </c>
    </row>
    <row r="7" ht="12.75">
      <c r="A7" s="3" t="s">
        <v>1</v>
      </c>
    </row>
    <row r="8" ht="12.75">
      <c r="A8" s="3" t="s">
        <v>51</v>
      </c>
    </row>
    <row r="9" spans="1:34" ht="12.75">
      <c r="A9" s="3" t="s">
        <v>57</v>
      </c>
      <c r="B9" s="9">
        <f>SUM(C9:D9)</f>
        <v>10310.400000000001</v>
      </c>
      <c r="C9" s="9">
        <v>5200.8</v>
      </c>
      <c r="D9" s="9">
        <v>5109.6</v>
      </c>
      <c r="E9" s="9">
        <f>SUM(F9:G9)</f>
        <v>11255.9</v>
      </c>
      <c r="F9" s="9">
        <v>5661.9</v>
      </c>
      <c r="G9" s="9">
        <v>5594</v>
      </c>
      <c r="H9" s="9">
        <v>12155.2</v>
      </c>
      <c r="I9" s="9">
        <v>6090.8</v>
      </c>
      <c r="J9" s="9">
        <v>6064.4</v>
      </c>
      <c r="K9" s="9">
        <v>13468.9</v>
      </c>
      <c r="L9" s="9">
        <v>6829.8</v>
      </c>
      <c r="M9" s="9">
        <v>6639.1</v>
      </c>
      <c r="N9" s="9">
        <v>14885.2</v>
      </c>
      <c r="O9" s="9">
        <v>7407.2</v>
      </c>
      <c r="P9" s="9">
        <v>7478</v>
      </c>
      <c r="Q9" s="9">
        <v>15421.8</v>
      </c>
      <c r="R9" s="9">
        <v>7743.2</v>
      </c>
      <c r="S9" s="9">
        <v>7678.6</v>
      </c>
      <c r="T9" s="9">
        <v>15745.2</v>
      </c>
      <c r="U9" s="9">
        <v>8019.9</v>
      </c>
      <c r="V9" s="9">
        <v>7725.3</v>
      </c>
      <c r="W9" s="9">
        <v>16971.5</v>
      </c>
      <c r="X9" s="9">
        <v>8721.3</v>
      </c>
      <c r="Y9" s="9">
        <v>8250.2</v>
      </c>
      <c r="Z9" s="9">
        <v>17745.8</v>
      </c>
      <c r="AA9" s="9">
        <v>9218.4</v>
      </c>
      <c r="AB9" s="9">
        <v>8527.4</v>
      </c>
      <c r="AC9" s="9">
        <v>17562.6</v>
      </c>
      <c r="AD9" s="9">
        <v>9206.4</v>
      </c>
      <c r="AE9" s="9">
        <v>8356.2</v>
      </c>
      <c r="AF9" s="9">
        <v>17682.3</v>
      </c>
      <c r="AG9" s="9">
        <v>9399.1</v>
      </c>
      <c r="AH9" s="9">
        <v>8283.2</v>
      </c>
    </row>
    <row r="10" spans="1:34" ht="12.75">
      <c r="A10" s="3" t="s">
        <v>58</v>
      </c>
      <c r="B10" s="9">
        <v>553.8</v>
      </c>
      <c r="C10" s="9">
        <v>572.3</v>
      </c>
      <c r="D10" s="9">
        <v>536.1</v>
      </c>
      <c r="E10" s="9">
        <v>562.9</v>
      </c>
      <c r="F10" s="9">
        <v>582.2</v>
      </c>
      <c r="G10" s="9">
        <v>544.7</v>
      </c>
      <c r="H10" s="9">
        <v>568.3</v>
      </c>
      <c r="I10" s="9">
        <v>587.2</v>
      </c>
      <c r="J10" s="9">
        <v>550.5</v>
      </c>
      <c r="K10" s="9">
        <v>568.8</v>
      </c>
      <c r="L10" s="9">
        <v>590.5</v>
      </c>
      <c r="M10" s="9">
        <v>548.1</v>
      </c>
      <c r="N10" s="9">
        <v>575.2</v>
      </c>
      <c r="O10" s="9">
        <v>596.7</v>
      </c>
      <c r="P10" s="9">
        <v>555.4</v>
      </c>
      <c r="Q10" s="9">
        <v>551.2</v>
      </c>
      <c r="R10" s="9">
        <v>574.9</v>
      </c>
      <c r="S10" s="9">
        <v>529.3</v>
      </c>
      <c r="T10" s="9">
        <v>515.8</v>
      </c>
      <c r="U10" s="9">
        <v>541.5</v>
      </c>
      <c r="V10" s="9">
        <v>491.5</v>
      </c>
      <c r="W10" s="9">
        <v>498.6</v>
      </c>
      <c r="X10" s="9">
        <v>524.1</v>
      </c>
      <c r="Y10" s="9">
        <v>474.2</v>
      </c>
      <c r="Z10" s="9">
        <v>470.9</v>
      </c>
      <c r="AA10" s="9">
        <v>498.5</v>
      </c>
      <c r="AB10" s="9">
        <v>443.3</v>
      </c>
      <c r="AC10" s="9">
        <v>451.8</v>
      </c>
      <c r="AD10" s="9">
        <v>483.6</v>
      </c>
      <c r="AE10" s="9">
        <v>421.2</v>
      </c>
      <c r="AF10" s="9">
        <v>435.6</v>
      </c>
      <c r="AG10" s="9">
        <v>471.9</v>
      </c>
      <c r="AH10" s="9">
        <v>400.6</v>
      </c>
    </row>
    <row r="11" spans="1:34" ht="12.75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2.75">
      <c r="A12" s="3" t="s">
        <v>52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>
      <c r="A13" s="3" t="s">
        <v>57</v>
      </c>
      <c r="B13" s="9">
        <f>SUM(C13:D13)</f>
        <v>7021.5</v>
      </c>
      <c r="C13" s="9">
        <v>3491.9</v>
      </c>
      <c r="D13" s="9">
        <v>3529.6</v>
      </c>
      <c r="E13" s="9">
        <f>SUM(F13:G13)</f>
        <v>7383.5</v>
      </c>
      <c r="F13" s="9">
        <v>3645.4</v>
      </c>
      <c r="G13" s="9">
        <v>3738.1</v>
      </c>
      <c r="H13" s="9">
        <v>7722.7</v>
      </c>
      <c r="I13" s="9">
        <v>3801.8</v>
      </c>
      <c r="J13" s="9">
        <v>3920.9</v>
      </c>
      <c r="K13" s="9">
        <v>8603.4</v>
      </c>
      <c r="L13" s="9">
        <v>4272.4</v>
      </c>
      <c r="M13" s="9">
        <v>4331</v>
      </c>
      <c r="N13" s="9">
        <v>9107.3</v>
      </c>
      <c r="O13" s="9">
        <v>4527.7</v>
      </c>
      <c r="P13" s="9">
        <v>4579.6</v>
      </c>
      <c r="Q13" s="9">
        <v>10548.1</v>
      </c>
      <c r="R13" s="9">
        <v>5268.7</v>
      </c>
      <c r="S13" s="9">
        <v>5279.4</v>
      </c>
      <c r="T13" s="9">
        <v>12747.5</v>
      </c>
      <c r="U13" s="9">
        <v>6348.2</v>
      </c>
      <c r="V13" s="9">
        <v>6399.3</v>
      </c>
      <c r="W13" s="9">
        <v>14967.7</v>
      </c>
      <c r="X13" s="9">
        <v>7481.1</v>
      </c>
      <c r="Y13" s="9">
        <v>7486.6</v>
      </c>
      <c r="Z13" s="9">
        <v>17443.7</v>
      </c>
      <c r="AA13" s="9">
        <v>8740.6</v>
      </c>
      <c r="AB13" s="9">
        <v>8703.1</v>
      </c>
      <c r="AC13" s="9">
        <v>18456.4</v>
      </c>
      <c r="AD13" s="9">
        <v>9205.9</v>
      </c>
      <c r="AE13" s="9">
        <v>9250.5</v>
      </c>
      <c r="AF13" s="9">
        <v>19104.6</v>
      </c>
      <c r="AG13" s="9">
        <v>9575.7</v>
      </c>
      <c r="AH13" s="9">
        <v>9528.9</v>
      </c>
    </row>
    <row r="14" spans="1:34" ht="12.75">
      <c r="A14" s="3" t="s">
        <v>58</v>
      </c>
      <c r="B14" s="9">
        <v>377.1</v>
      </c>
      <c r="C14" s="9">
        <v>384.2</v>
      </c>
      <c r="D14" s="9">
        <v>370.4</v>
      </c>
      <c r="E14" s="9">
        <v>369.3</v>
      </c>
      <c r="F14" s="9">
        <v>374.9</v>
      </c>
      <c r="G14" s="9">
        <v>364</v>
      </c>
      <c r="H14" s="9">
        <v>361</v>
      </c>
      <c r="I14" s="9">
        <v>366.5</v>
      </c>
      <c r="J14" s="9">
        <v>355.9</v>
      </c>
      <c r="K14" s="9">
        <v>363.4</v>
      </c>
      <c r="L14" s="9">
        <v>369.4</v>
      </c>
      <c r="M14" s="9">
        <v>357.6</v>
      </c>
      <c r="N14" s="9">
        <v>351.9</v>
      </c>
      <c r="O14" s="9">
        <v>364.7</v>
      </c>
      <c r="P14" s="9">
        <v>340.1</v>
      </c>
      <c r="Q14" s="9">
        <v>377</v>
      </c>
      <c r="R14" s="9">
        <v>391.2</v>
      </c>
      <c r="S14" s="9">
        <v>363.9</v>
      </c>
      <c r="T14" s="9">
        <v>417.6</v>
      </c>
      <c r="U14" s="9">
        <v>428.6</v>
      </c>
      <c r="V14" s="9">
        <v>407.1</v>
      </c>
      <c r="W14" s="9">
        <v>439.7</v>
      </c>
      <c r="X14" s="9">
        <v>449.5</v>
      </c>
      <c r="Y14" s="9">
        <v>430.3</v>
      </c>
      <c r="Z14" s="9">
        <v>462.9</v>
      </c>
      <c r="AA14" s="9">
        <v>472.7</v>
      </c>
      <c r="AB14" s="9">
        <v>453.5</v>
      </c>
      <c r="AC14" s="9">
        <v>474.8</v>
      </c>
      <c r="AD14" s="9">
        <v>483.6</v>
      </c>
      <c r="AE14" s="9">
        <v>466.4</v>
      </c>
      <c r="AF14" s="9">
        <v>470.6</v>
      </c>
      <c r="AG14" s="9">
        <v>480.7</v>
      </c>
      <c r="AH14" s="9">
        <v>460.8</v>
      </c>
    </row>
    <row r="15" spans="1:34" ht="12.75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2.75">
      <c r="A16" s="3" t="s">
        <v>53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2.75">
      <c r="A17" s="3" t="s">
        <v>57</v>
      </c>
      <c r="B17" s="9">
        <f>SUM(C17:D17)</f>
        <v>1280.1</v>
      </c>
      <c r="C17" s="9">
        <v>391.5</v>
      </c>
      <c r="D17" s="9">
        <v>888.6</v>
      </c>
      <c r="E17" s="9">
        <v>1342.5</v>
      </c>
      <c r="F17" s="9">
        <v>410.5</v>
      </c>
      <c r="G17" s="9">
        <v>932</v>
      </c>
      <c r="H17" s="9">
        <v>1461</v>
      </c>
      <c r="I17" s="9">
        <v>453.3</v>
      </c>
      <c r="J17" s="9">
        <v>1007.7</v>
      </c>
      <c r="K17" s="9">
        <v>1569.3</v>
      </c>
      <c r="L17" s="9">
        <v>445.3</v>
      </c>
      <c r="M17" s="9">
        <v>1124</v>
      </c>
      <c r="N17" s="9">
        <v>1885.5</v>
      </c>
      <c r="O17" s="9">
        <v>478.9</v>
      </c>
      <c r="P17" s="9">
        <v>1406.6</v>
      </c>
      <c r="Q17" s="9">
        <v>1965.9</v>
      </c>
      <c r="R17" s="9">
        <v>436.6</v>
      </c>
      <c r="S17" s="9">
        <v>1529.3</v>
      </c>
      <c r="T17" s="9">
        <v>1932.7</v>
      </c>
      <c r="U17" s="9">
        <v>408</v>
      </c>
      <c r="V17" s="9">
        <v>1524.7</v>
      </c>
      <c r="W17" s="9">
        <v>2020</v>
      </c>
      <c r="X17" s="9">
        <v>409.9</v>
      </c>
      <c r="Y17" s="9">
        <v>1610.1</v>
      </c>
      <c r="Z17" s="9">
        <v>2252.7</v>
      </c>
      <c r="AA17" s="9">
        <v>438</v>
      </c>
      <c r="AB17" s="9">
        <v>1814.7</v>
      </c>
      <c r="AC17" s="9">
        <v>2397.4</v>
      </c>
      <c r="AD17" s="9">
        <v>443.1</v>
      </c>
      <c r="AE17" s="9">
        <v>1954.3</v>
      </c>
      <c r="AF17" s="9">
        <v>2647.8</v>
      </c>
      <c r="AG17" s="9">
        <v>463.1</v>
      </c>
      <c r="AH17" s="9">
        <v>2184.8</v>
      </c>
    </row>
    <row r="18" spans="1:34" ht="12.75">
      <c r="A18" s="3" t="s">
        <v>58</v>
      </c>
      <c r="B18" s="9">
        <v>68.8</v>
      </c>
      <c r="C18" s="9">
        <v>43.1</v>
      </c>
      <c r="D18" s="9">
        <v>93.2</v>
      </c>
      <c r="E18" s="9">
        <v>67.1</v>
      </c>
      <c r="F18" s="9">
        <v>42.2</v>
      </c>
      <c r="G18" s="9">
        <v>90.7</v>
      </c>
      <c r="H18" s="9">
        <v>68.3</v>
      </c>
      <c r="I18" s="9">
        <v>43.7</v>
      </c>
      <c r="J18" s="9">
        <v>91.5</v>
      </c>
      <c r="K18" s="9">
        <v>66.3</v>
      </c>
      <c r="L18" s="9">
        <v>38.5</v>
      </c>
      <c r="M18" s="9">
        <v>92.8</v>
      </c>
      <c r="N18" s="9">
        <v>72.9</v>
      </c>
      <c r="O18" s="9">
        <v>38.6</v>
      </c>
      <c r="P18" s="9">
        <v>104.5</v>
      </c>
      <c r="Q18" s="9">
        <v>70.3</v>
      </c>
      <c r="R18" s="9">
        <v>32.4</v>
      </c>
      <c r="S18" s="9">
        <v>105.4</v>
      </c>
      <c r="T18" s="9">
        <v>63.3</v>
      </c>
      <c r="U18" s="9">
        <v>27.6</v>
      </c>
      <c r="V18" s="9">
        <v>97</v>
      </c>
      <c r="W18" s="9">
        <v>59.3</v>
      </c>
      <c r="X18" s="9">
        <v>24.6</v>
      </c>
      <c r="Y18" s="9">
        <v>92.5</v>
      </c>
      <c r="Z18" s="9">
        <v>59.8</v>
      </c>
      <c r="AA18" s="9">
        <v>23.7</v>
      </c>
      <c r="AB18" s="9">
        <v>94.6</v>
      </c>
      <c r="AC18" s="9">
        <v>61.7</v>
      </c>
      <c r="AD18" s="9">
        <v>23.3</v>
      </c>
      <c r="AE18" s="9">
        <v>98.5</v>
      </c>
      <c r="AF18" s="9">
        <v>65.2</v>
      </c>
      <c r="AG18" s="9">
        <v>23.3</v>
      </c>
      <c r="AH18" s="9">
        <v>105.7</v>
      </c>
    </row>
    <row r="19" spans="1:34" ht="12.7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2.75">
      <c r="A20" s="3" t="s">
        <v>54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2.75">
      <c r="A21" s="3" t="s">
        <v>55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2.75">
      <c r="A22" s="3" t="s">
        <v>57</v>
      </c>
      <c r="B22" s="13" t="s">
        <v>5</v>
      </c>
      <c r="C22" s="13" t="s">
        <v>5</v>
      </c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5</v>
      </c>
      <c r="I22" s="13" t="s">
        <v>5</v>
      </c>
      <c r="J22" s="13" t="s">
        <v>5</v>
      </c>
      <c r="K22" s="13" t="s">
        <v>5</v>
      </c>
      <c r="L22" s="13" t="s">
        <v>5</v>
      </c>
      <c r="M22" s="13" t="s">
        <v>5</v>
      </c>
      <c r="N22" s="13" t="s">
        <v>5</v>
      </c>
      <c r="O22" s="13" t="s">
        <v>5</v>
      </c>
      <c r="P22" s="13" t="s">
        <v>5</v>
      </c>
      <c r="Q22" s="9">
        <v>2.1</v>
      </c>
      <c r="R22" s="13" t="s">
        <v>5</v>
      </c>
      <c r="S22" s="13" t="s">
        <v>5</v>
      </c>
      <c r="T22" s="9">
        <v>26.5</v>
      </c>
      <c r="U22" s="9">
        <v>8.2</v>
      </c>
      <c r="V22" s="9">
        <v>17.4</v>
      </c>
      <c r="W22" s="9">
        <v>81.5</v>
      </c>
      <c r="X22" s="9">
        <v>29.5</v>
      </c>
      <c r="Y22" s="9">
        <v>52</v>
      </c>
      <c r="Z22" s="9">
        <v>241.1</v>
      </c>
      <c r="AA22" s="9">
        <v>94.7</v>
      </c>
      <c r="AB22" s="9">
        <v>146.4</v>
      </c>
      <c r="AC22" s="9">
        <v>455.9</v>
      </c>
      <c r="AD22" s="9">
        <v>181</v>
      </c>
      <c r="AE22" s="9">
        <v>274.9</v>
      </c>
      <c r="AF22" s="9">
        <v>1161.1</v>
      </c>
      <c r="AG22" s="9">
        <v>481</v>
      </c>
      <c r="AH22" s="9">
        <v>680.1</v>
      </c>
    </row>
    <row r="23" spans="1:34" ht="12.75">
      <c r="A23" s="3" t="s">
        <v>58</v>
      </c>
      <c r="B23" s="13" t="s">
        <v>5</v>
      </c>
      <c r="C23" s="13" t="s">
        <v>5</v>
      </c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5</v>
      </c>
      <c r="I23" s="13" t="s">
        <v>5</v>
      </c>
      <c r="J23" s="13" t="s">
        <v>5</v>
      </c>
      <c r="K23" s="13" t="s">
        <v>5</v>
      </c>
      <c r="L23" s="13" t="s">
        <v>5</v>
      </c>
      <c r="M23" s="13" t="s">
        <v>5</v>
      </c>
      <c r="N23" s="13" t="s">
        <v>5</v>
      </c>
      <c r="O23" s="13" t="s">
        <v>5</v>
      </c>
      <c r="P23" s="13" t="s">
        <v>5</v>
      </c>
      <c r="Q23" s="9">
        <v>0.1</v>
      </c>
      <c r="R23" s="13" t="s">
        <v>5</v>
      </c>
      <c r="S23" s="13" t="s">
        <v>5</v>
      </c>
      <c r="T23" s="9">
        <v>0.8</v>
      </c>
      <c r="U23" s="9">
        <v>0.6</v>
      </c>
      <c r="V23" s="9">
        <v>1.1</v>
      </c>
      <c r="W23" s="9">
        <v>2.4</v>
      </c>
      <c r="X23" s="9">
        <v>1.8</v>
      </c>
      <c r="Y23" s="9">
        <v>3</v>
      </c>
      <c r="Z23" s="9">
        <v>6.4</v>
      </c>
      <c r="AA23" s="9">
        <v>5.1</v>
      </c>
      <c r="AB23" s="9">
        <v>7.6</v>
      </c>
      <c r="AC23" s="9">
        <v>11.7</v>
      </c>
      <c r="AD23" s="9">
        <v>9.5</v>
      </c>
      <c r="AE23" s="9">
        <v>13.8</v>
      </c>
      <c r="AF23" s="9">
        <v>28.6</v>
      </c>
      <c r="AG23" s="9">
        <v>24.1</v>
      </c>
      <c r="AH23" s="9">
        <v>32.9</v>
      </c>
    </row>
    <row r="24" spans="1:34" ht="12.75">
      <c r="A24" s="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9"/>
      <c r="R24" s="13"/>
      <c r="S24" s="13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2.75">
      <c r="A25" s="3" t="s">
        <v>56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2.75">
      <c r="A26" s="3" t="s">
        <v>57</v>
      </c>
      <c r="B26" s="9">
        <f>SUM(C26:D26)</f>
        <v>6.1</v>
      </c>
      <c r="C26" s="9">
        <v>3.6</v>
      </c>
      <c r="D26" s="9">
        <v>2.5</v>
      </c>
      <c r="E26" s="9">
        <v>13.8</v>
      </c>
      <c r="F26" s="9">
        <v>7.2</v>
      </c>
      <c r="G26" s="9">
        <v>6.6</v>
      </c>
      <c r="H26" s="9">
        <v>50.9</v>
      </c>
      <c r="I26" s="9">
        <v>27.5</v>
      </c>
      <c r="J26" s="9">
        <v>23.4</v>
      </c>
      <c r="K26" s="9">
        <v>36.2</v>
      </c>
      <c r="L26" s="9">
        <v>18.3</v>
      </c>
      <c r="M26" s="9">
        <v>17.9</v>
      </c>
      <c r="N26" s="13" t="s">
        <v>5</v>
      </c>
      <c r="O26" s="13" t="s">
        <v>5</v>
      </c>
      <c r="P26" s="13" t="s">
        <v>5</v>
      </c>
      <c r="Q26" s="9">
        <v>38.9</v>
      </c>
      <c r="R26" s="9">
        <v>20.7</v>
      </c>
      <c r="S26" s="9">
        <v>18.2</v>
      </c>
      <c r="T26" s="9">
        <v>77.5</v>
      </c>
      <c r="U26" s="9">
        <v>25.8</v>
      </c>
      <c r="V26" s="9">
        <v>51.7</v>
      </c>
      <c r="W26" s="13" t="s">
        <v>5</v>
      </c>
      <c r="X26" s="13" t="s">
        <v>5</v>
      </c>
      <c r="Y26" s="13" t="s">
        <v>5</v>
      </c>
      <c r="Z26" s="13" t="s">
        <v>5</v>
      </c>
      <c r="AA26" s="13" t="s">
        <v>5</v>
      </c>
      <c r="AB26" s="13" t="s">
        <v>5</v>
      </c>
      <c r="AC26" s="13" t="s">
        <v>5</v>
      </c>
      <c r="AD26" s="13" t="s">
        <v>5</v>
      </c>
      <c r="AE26" s="13" t="s">
        <v>5</v>
      </c>
      <c r="AF26" s="13" t="s">
        <v>5</v>
      </c>
      <c r="AG26" s="13" t="s">
        <v>5</v>
      </c>
      <c r="AH26" s="13" t="s">
        <v>5</v>
      </c>
    </row>
    <row r="27" spans="1:34" ht="12.75">
      <c r="A27" s="3" t="s">
        <v>58</v>
      </c>
      <c r="B27" s="9">
        <v>0.3</v>
      </c>
      <c r="C27" s="9">
        <v>0.4</v>
      </c>
      <c r="D27" s="9">
        <v>0.3</v>
      </c>
      <c r="E27" s="9">
        <v>0.7</v>
      </c>
      <c r="F27" s="9">
        <v>0.7</v>
      </c>
      <c r="G27" s="9">
        <v>0.6</v>
      </c>
      <c r="H27" s="9">
        <v>2.4</v>
      </c>
      <c r="I27" s="9">
        <v>2.6</v>
      </c>
      <c r="J27" s="9">
        <v>2.1</v>
      </c>
      <c r="K27" s="9">
        <v>1.5</v>
      </c>
      <c r="L27" s="9">
        <v>1.6</v>
      </c>
      <c r="M27" s="9">
        <v>1.5</v>
      </c>
      <c r="N27" s="13" t="s">
        <v>5</v>
      </c>
      <c r="O27" s="13" t="s">
        <v>5</v>
      </c>
      <c r="P27" s="13" t="s">
        <v>5</v>
      </c>
      <c r="Q27" s="9">
        <v>1.4</v>
      </c>
      <c r="R27" s="9">
        <v>1.5</v>
      </c>
      <c r="S27" s="9">
        <v>1.3</v>
      </c>
      <c r="T27" s="9">
        <v>2.5</v>
      </c>
      <c r="U27" s="9">
        <v>1.7</v>
      </c>
      <c r="V27" s="9">
        <v>3.3</v>
      </c>
      <c r="W27" s="13" t="s">
        <v>5</v>
      </c>
      <c r="X27" s="13" t="s">
        <v>5</v>
      </c>
      <c r="Y27" s="13" t="s">
        <v>5</v>
      </c>
      <c r="Z27" s="13" t="s">
        <v>5</v>
      </c>
      <c r="AA27" s="13" t="s">
        <v>5</v>
      </c>
      <c r="AB27" s="13" t="s">
        <v>5</v>
      </c>
      <c r="AC27" s="13" t="s">
        <v>5</v>
      </c>
      <c r="AD27" s="13" t="s">
        <v>5</v>
      </c>
      <c r="AE27" s="13" t="s">
        <v>5</v>
      </c>
      <c r="AF27" s="13" t="s">
        <v>5</v>
      </c>
      <c r="AG27" s="13" t="s">
        <v>5</v>
      </c>
      <c r="AH27" s="13" t="s">
        <v>5</v>
      </c>
    </row>
    <row r="28" spans="2:31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30" ht="12.75">
      <c r="A30" t="s">
        <v>59</v>
      </c>
    </row>
    <row r="31" ht="12.75">
      <c r="A31" t="s">
        <v>60</v>
      </c>
    </row>
    <row r="33" ht="12.75">
      <c r="A33" t="s">
        <v>61</v>
      </c>
    </row>
    <row r="35" s="24" customFormat="1" ht="12.75"/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5.421875" style="6" customWidth="1"/>
    <col min="2" max="9" width="11.57421875" style="6" customWidth="1"/>
    <col min="10" max="10" width="12.421875" style="6" customWidth="1"/>
    <col min="11" max="13" width="12.28125" style="6" customWidth="1"/>
    <col min="14" max="19" width="11.57421875" style="6" customWidth="1"/>
    <col min="20" max="20" width="12.28125" style="6" customWidth="1"/>
    <col min="21" max="16384" width="11.57421875" style="6" customWidth="1"/>
  </cols>
  <sheetData>
    <row r="1" spans="1:8" s="42" customFormat="1" ht="18">
      <c r="A1" s="41" t="s">
        <v>62</v>
      </c>
      <c r="B1" s="30"/>
      <c r="C1" s="30"/>
      <c r="D1" s="30"/>
      <c r="E1" s="30"/>
      <c r="F1" s="30"/>
      <c r="G1" s="30"/>
      <c r="H1" s="30"/>
    </row>
    <row r="2" spans="1:2" s="30" customFormat="1" ht="15">
      <c r="A2" s="31" t="s">
        <v>63</v>
      </c>
      <c r="B2" s="43"/>
    </row>
    <row r="3" spans="1:2" ht="15">
      <c r="A3" s="17"/>
      <c r="B3" s="11"/>
    </row>
    <row r="4" spans="1:12" s="62" customFormat="1" ht="12.75">
      <c r="A4" s="72" t="s">
        <v>64</v>
      </c>
      <c r="B4" s="72" t="s">
        <v>65</v>
      </c>
      <c r="C4" s="72"/>
      <c r="D4" s="65"/>
      <c r="E4" s="72"/>
      <c r="F4" s="72"/>
      <c r="G4" s="72"/>
      <c r="H4" s="72"/>
      <c r="I4" s="72"/>
      <c r="J4" s="72"/>
      <c r="K4" s="72"/>
      <c r="L4" s="72"/>
    </row>
    <row r="5" spans="1:12" s="62" customFormat="1" ht="12.75">
      <c r="A5" s="72"/>
      <c r="B5" s="73">
        <v>1900</v>
      </c>
      <c r="C5" s="73">
        <v>1910</v>
      </c>
      <c r="D5" s="73">
        <v>1920</v>
      </c>
      <c r="E5" s="73">
        <v>1930</v>
      </c>
      <c r="F5" s="73">
        <v>1940</v>
      </c>
      <c r="G5" s="73">
        <v>1950</v>
      </c>
      <c r="H5" s="74">
        <v>1960</v>
      </c>
      <c r="I5" s="73">
        <v>1970</v>
      </c>
      <c r="J5" s="73">
        <v>1981</v>
      </c>
      <c r="K5" s="73">
        <v>1991</v>
      </c>
      <c r="L5" s="73">
        <v>2001</v>
      </c>
    </row>
    <row r="6" spans="1:12" s="42" customFormat="1" ht="12.75">
      <c r="A6" s="49" t="s">
        <v>1</v>
      </c>
      <c r="B6" s="49">
        <v>18618086</v>
      </c>
      <c r="C6" s="49">
        <v>19995686</v>
      </c>
      <c r="D6" s="49">
        <v>21389842</v>
      </c>
      <c r="E6" s="49">
        <v>23677794</v>
      </c>
      <c r="F6" s="49">
        <f>12413777+13464194</f>
        <v>25877971</v>
      </c>
      <c r="G6" s="49">
        <v>27976755</v>
      </c>
      <c r="H6" s="49">
        <v>30528539</v>
      </c>
      <c r="I6" s="49">
        <v>34040657</v>
      </c>
      <c r="J6" s="49">
        <v>37683363</v>
      </c>
      <c r="K6" s="49">
        <v>38872268</v>
      </c>
      <c r="L6" s="49">
        <v>40847371</v>
      </c>
    </row>
    <row r="7" spans="1:12" ht="12.75">
      <c r="A7" s="8" t="s">
        <v>66</v>
      </c>
      <c r="B7" s="6">
        <f>382501+443986+449260+443823+441482</f>
        <v>2161052</v>
      </c>
      <c r="C7" s="6">
        <f>443503+455362+501468+489677+476888</f>
        <v>2366898</v>
      </c>
      <c r="D7" s="6">
        <f>442246+447665+461998+450106+451928</f>
        <v>2253943</v>
      </c>
      <c r="E7" s="6">
        <f>504878+480342+551382+532091+538419</f>
        <v>2607112</v>
      </c>
      <c r="F7" s="6">
        <f>1137423+1110710</f>
        <v>2248133</v>
      </c>
      <c r="G7" s="6">
        <f>450090+503162+575926+534899+508329</f>
        <v>2572406</v>
      </c>
      <c r="H7" s="6">
        <f>586783+622708+603445+595132+561139</f>
        <v>2969207</v>
      </c>
      <c r="I7" s="6">
        <f>647444+628824+635130+651761+646334</f>
        <v>3209493</v>
      </c>
      <c r="J7" s="6">
        <v>3075352</v>
      </c>
      <c r="K7" s="6">
        <v>2009926</v>
      </c>
      <c r="L7" s="6">
        <v>1923085</v>
      </c>
    </row>
    <row r="8" spans="1:12" ht="12.75">
      <c r="A8" s="8" t="s">
        <v>67</v>
      </c>
      <c r="B8" s="6">
        <f>437192+429911+427679+429412+388863</f>
        <v>2113057</v>
      </c>
      <c r="C8" s="6">
        <f>468908+476439+474576+478111+429936</f>
        <v>2327970</v>
      </c>
      <c r="D8" s="6">
        <f>460193+470547+462635+486098+450578</f>
        <v>2330051</v>
      </c>
      <c r="E8" s="6">
        <f>514927+532802+527345+522577+487510</f>
        <v>2585161</v>
      </c>
      <c r="F8" s="6">
        <f>1389725+1369658</f>
        <v>2759383</v>
      </c>
      <c r="G8" s="6">
        <f>538170+521149+492243+464549+418522</f>
        <v>2434633</v>
      </c>
      <c r="H8" s="6">
        <f>557669+536919+544678+551412+508762</f>
        <v>2699440</v>
      </c>
      <c r="I8" s="6">
        <f>656254+670335+645158+630531+617674</f>
        <v>3219952</v>
      </c>
      <c r="J8" s="6">
        <v>3308049</v>
      </c>
      <c r="K8" s="6">
        <v>2436940</v>
      </c>
      <c r="L8" s="6">
        <v>1906092</v>
      </c>
    </row>
    <row r="9" spans="1:12" ht="12.75">
      <c r="A9" s="8" t="s">
        <v>68</v>
      </c>
      <c r="B9" s="6">
        <f>425850+371284+426002+381358+355145</f>
        <v>1959639</v>
      </c>
      <c r="C9" s="6">
        <f>467629+387711+439814+393050+402831</f>
        <v>2091035</v>
      </c>
      <c r="D9" s="6">
        <f>498511+433306+486253+435492+455027</f>
        <v>2308589</v>
      </c>
      <c r="E9" s="6">
        <f>506104+428486+480130+432412+443984</f>
        <v>2291116</v>
      </c>
      <c r="F9" s="6">
        <f>1376332+1365103</f>
        <v>2741435</v>
      </c>
      <c r="G9" s="6">
        <f>534750+347549+429983+464025+550445</f>
        <v>2326752</v>
      </c>
      <c r="H9" s="6">
        <f>528400+530665+581753+528837+509085</f>
        <v>2678740</v>
      </c>
      <c r="I9" s="6">
        <f>639306+614355+612387+599767+564380</f>
        <v>3030195</v>
      </c>
      <c r="J9" s="6">
        <v>3302328</v>
      </c>
      <c r="K9" s="6">
        <v>3085802</v>
      </c>
      <c r="L9" s="6">
        <v>2103476</v>
      </c>
    </row>
    <row r="10" spans="1:12" ht="12.75">
      <c r="A10" s="8" t="s">
        <v>69</v>
      </c>
      <c r="B10" s="6">
        <f>324231+318860+303004+328061+284339</f>
        <v>1558495</v>
      </c>
      <c r="C10" s="6">
        <f>365226+358688+349171+386307+310113</f>
        <v>1769505</v>
      </c>
      <c r="D10" s="6">
        <f>433702+424421+416835+439758+354465</f>
        <v>2069181</v>
      </c>
      <c r="E10" s="6">
        <f>424189+435274+433422+484320+411274</f>
        <v>2188479</v>
      </c>
      <c r="F10" s="6">
        <f>1297114+1248068</f>
        <v>2545182</v>
      </c>
      <c r="G10" s="6">
        <f>526576+538603+557972+580354+484339</f>
        <v>2687844</v>
      </c>
      <c r="H10" s="6">
        <f>542527+516049+509098+459795+406554</f>
        <v>2434023</v>
      </c>
      <c r="I10" s="6">
        <f>560989+539238+545163+552745+511201</f>
        <v>2709336</v>
      </c>
      <c r="J10" s="6">
        <v>3263312</v>
      </c>
      <c r="K10" s="6">
        <v>3339572</v>
      </c>
      <c r="L10" s="6">
        <v>2464580</v>
      </c>
    </row>
    <row r="11" spans="1:12" ht="12.75">
      <c r="A11" s="8" t="s">
        <v>70</v>
      </c>
      <c r="B11" s="6">
        <f>329707+278350+326224+307804+315615</f>
        <v>1557700</v>
      </c>
      <c r="C11" s="6">
        <f>357382+283265+347986+320168+324195</f>
        <v>1632996</v>
      </c>
      <c r="D11" s="6">
        <f>430070+322764+374820+344920+359567</f>
        <v>1832141</v>
      </c>
      <c r="E11" s="6">
        <f>476307+392696+450566+417852+413113</f>
        <v>2150534</v>
      </c>
      <c r="F11" s="6">
        <f>1014912+1167204</f>
        <v>2182116</v>
      </c>
      <c r="G11" s="6">
        <f>586388+501957+566202+499154+517350</f>
        <v>2671051</v>
      </c>
      <c r="H11" s="6">
        <f>529017+344544+459971+433318+500847</f>
        <v>2267697</v>
      </c>
      <c r="I11" s="6">
        <f>516563+515730+545464+498774+472222</f>
        <v>2548753</v>
      </c>
      <c r="J11" s="6">
        <v>2942178</v>
      </c>
      <c r="K11" s="6">
        <v>3237363</v>
      </c>
      <c r="L11" s="6">
        <v>3184683</v>
      </c>
    </row>
    <row r="12" spans="1:12" ht="12.75">
      <c r="A12" s="8" t="s">
        <v>71</v>
      </c>
      <c r="B12" s="6">
        <f>316601+301717+266513+306274+223879</f>
        <v>1414984</v>
      </c>
      <c r="C12" s="6">
        <f>318569+307984+271982+316994+237862</f>
        <v>1453391</v>
      </c>
      <c r="D12" s="6">
        <f>358972+330021+308628+335825+253935</f>
        <v>1587381</v>
      </c>
      <c r="E12" s="6">
        <f>413928+402169+379972+405573+319645</f>
        <v>1921287</v>
      </c>
      <c r="F12" s="6">
        <f>952273+1107342</f>
        <v>2059615</v>
      </c>
      <c r="G12" s="6">
        <f>499563+489451+476338+486010+427237</f>
        <v>2378599</v>
      </c>
      <c r="H12" s="6">
        <f>480612+480651+504316+509330+471830</f>
        <v>2446739</v>
      </c>
      <c r="I12" s="6">
        <f>505287+475068+469723+413602+375800</f>
        <v>2239480</v>
      </c>
      <c r="J12" s="6">
        <v>2537428</v>
      </c>
      <c r="K12" s="6">
        <v>3104329</v>
      </c>
      <c r="L12" s="6">
        <v>3500248</v>
      </c>
    </row>
    <row r="13" spans="1:12" ht="12.75">
      <c r="A13" s="8" t="s">
        <v>72</v>
      </c>
      <c r="B13" s="6">
        <f>398073+177628+244096+222643+245543</f>
        <v>1287983</v>
      </c>
      <c r="C13" s="6">
        <f>404840+193278+274227+241774+256707</f>
        <v>1370826</v>
      </c>
      <c r="D13" s="6">
        <f>415814+236814+296746+265470+264215</f>
        <v>1479059</v>
      </c>
      <c r="E13" s="6">
        <f>467908+263057+315758+301338+305641</f>
        <v>1653702</v>
      </c>
      <c r="F13" s="6">
        <f>928563+993572</f>
        <v>1922135</v>
      </c>
      <c r="G13" s="6">
        <f>480077+349016+383860+370628+358568</f>
        <v>1942149</v>
      </c>
      <c r="H13" s="6">
        <f>527347+446862+476467+462172+455251</f>
        <v>2368099</v>
      </c>
      <c r="I13" s="6">
        <f>488093+317424+368857+421045+478567</f>
        <v>2073986</v>
      </c>
      <c r="J13" s="6">
        <v>2455314</v>
      </c>
      <c r="K13" s="6">
        <v>2862506</v>
      </c>
      <c r="L13" s="6">
        <v>3378579</v>
      </c>
    </row>
    <row r="14" spans="1:12" ht="12.75">
      <c r="A14" s="8" t="s">
        <v>73</v>
      </c>
      <c r="B14" s="6">
        <f>244722+254014+198471+249341+189993</f>
        <v>1136541</v>
      </c>
      <c r="C14" s="6">
        <f>259759+266462+210859+261998+191629</f>
        <v>1190707</v>
      </c>
      <c r="D14" s="6">
        <f>285964+261703+222989+261307+209982</f>
        <v>1241945</v>
      </c>
      <c r="E14" s="6">
        <f>310404+301875+263531+308939+246593</f>
        <v>1431342</v>
      </c>
      <c r="F14" s="6">
        <f>825673+908125</f>
        <v>1733798</v>
      </c>
      <c r="G14" s="6">
        <f>374568+382315+364324+378857+362701</f>
        <v>1862765</v>
      </c>
      <c r="H14" s="6">
        <f>449670+444504+432599+446597+409840</f>
        <v>2183210</v>
      </c>
      <c r="I14" s="6">
        <f>469853+467074+492333+491034+469477</f>
        <v>2389771</v>
      </c>
      <c r="J14" s="6">
        <v>2245806</v>
      </c>
      <c r="K14" s="6">
        <v>2507329</v>
      </c>
      <c r="L14" s="6">
        <v>3292986</v>
      </c>
    </row>
    <row r="15" spans="1:12" ht="12.75">
      <c r="A15" s="8" t="s">
        <v>74</v>
      </c>
      <c r="B15" s="6">
        <f>418273+152229+214905+168158+200371</f>
        <v>1153936</v>
      </c>
      <c r="C15" s="6">
        <f>406951+150438+225313+174434+217307</f>
        <v>1174443</v>
      </c>
      <c r="D15" s="6">
        <f>419814+188835+248696+205596+234673</f>
        <v>1297614</v>
      </c>
      <c r="E15" s="6">
        <f>398914+204923+280556+225512+243742</f>
        <v>1353647</v>
      </c>
      <c r="F15" s="6">
        <f>807807+733524</f>
        <v>1541331</v>
      </c>
      <c r="G15" s="6">
        <f>448457+331943+366449+340807+337989</f>
        <v>1825645</v>
      </c>
      <c r="H15" s="6">
        <f>430813+339307+364237+339752+338352</f>
        <v>1812461</v>
      </c>
      <c r="I15" s="6">
        <f>503736+456093+469110+446133+450329</f>
        <v>2325401</v>
      </c>
      <c r="J15" s="6">
        <v>2056009</v>
      </c>
      <c r="K15" s="6">
        <v>2404995</v>
      </c>
      <c r="L15" s="6">
        <v>3028209</v>
      </c>
    </row>
    <row r="16" spans="1:12" ht="12.75">
      <c r="A16" s="8" t="s">
        <v>75</v>
      </c>
      <c r="B16" s="6">
        <f>224439+197180+159599+211790+148833</f>
        <v>941841</v>
      </c>
      <c r="C16" s="6">
        <f>242240+210667+165677+225144+161006</f>
        <v>1004734</v>
      </c>
      <c r="D16" s="6">
        <f>261204+218675+186413+224933+166249</f>
        <v>1057474</v>
      </c>
      <c r="E16" s="6">
        <f>272323+240165+202714+249312+195381</f>
        <v>1159895</v>
      </c>
      <c r="F16" s="6">
        <f>627596+701803</f>
        <v>1329399</v>
      </c>
      <c r="G16" s="6">
        <f>366142+332965+318815+333683+293043</f>
        <v>1644648</v>
      </c>
      <c r="H16" s="6">
        <f>350898+349607+343075+359048+336308</f>
        <v>1738936</v>
      </c>
      <c r="I16" s="6">
        <f>441190+432070+424551+433071+402688</f>
        <v>2133570</v>
      </c>
      <c r="J16" s="6">
        <v>2361225</v>
      </c>
      <c r="K16" s="6">
        <v>2193077</v>
      </c>
      <c r="L16" s="6">
        <v>2609708</v>
      </c>
    </row>
    <row r="17" spans="1:12" ht="12.75">
      <c r="A17" s="8" t="s">
        <v>76</v>
      </c>
      <c r="B17" s="6">
        <f>371823+122541+166288+130026+164184</f>
        <v>954862</v>
      </c>
      <c r="C17" s="6">
        <f>369446+126841+178451+133413+169542</f>
        <v>977693</v>
      </c>
      <c r="D17" s="6">
        <f>359875+144080+186339+153390+179389</f>
        <v>1023073</v>
      </c>
      <c r="E17" s="6">
        <f>354162+161951+217567+180960+198430</f>
        <v>1113070</v>
      </c>
      <c r="F17" s="6">
        <f>571978+621900</f>
        <v>1193878</v>
      </c>
      <c r="G17" s="6">
        <f>395291+243744+265328+246107+265135</f>
        <v>1415605</v>
      </c>
      <c r="H17" s="6">
        <f>372951+321692+334001+320557+314101</f>
        <v>1663302</v>
      </c>
      <c r="I17" s="6">
        <f>401965+334066+342951+328435+320035</f>
        <v>1727452</v>
      </c>
      <c r="J17" s="6">
        <v>2265091</v>
      </c>
      <c r="K17" s="6">
        <v>1973200</v>
      </c>
      <c r="L17" s="6">
        <v>2433775</v>
      </c>
    </row>
    <row r="18" spans="1:12" ht="12.75">
      <c r="A18" s="8" t="s">
        <v>77</v>
      </c>
      <c r="B18" s="6">
        <f>158982+160990+118375+152836+104601</f>
        <v>695784</v>
      </c>
      <c r="C18" s="6">
        <f>172822+172303+123307+164961+113994</f>
        <v>747387</v>
      </c>
      <c r="D18" s="6">
        <f>202459+175089+140433+168922+130945</f>
        <v>817848</v>
      </c>
      <c r="E18" s="6">
        <f>208298+204416+156353+190746+143329</f>
        <v>903142</v>
      </c>
      <c r="F18" s="6">
        <f>465533+529791</f>
        <v>995324</v>
      </c>
      <c r="G18" s="6">
        <f>257056+247372+214919+229573+196966</f>
        <v>1145886</v>
      </c>
      <c r="H18" s="6">
        <f>318382+298650+291818+293655+268543</f>
        <v>1471048</v>
      </c>
      <c r="I18" s="6">
        <f>329630+331412+325868+328457+315530</f>
        <v>1630897</v>
      </c>
      <c r="J18" s="6">
        <v>2038002</v>
      </c>
      <c r="K18" s="6">
        <v>2239533</v>
      </c>
      <c r="L18" s="6">
        <v>2212801</v>
      </c>
    </row>
    <row r="19" spans="1:12" ht="12.75">
      <c r="A19" s="8" t="s">
        <v>78</v>
      </c>
      <c r="B19" s="6">
        <f>300289+85470+109318+92592+106071</f>
        <v>693740</v>
      </c>
      <c r="C19" s="6">
        <f>312278+95107+130219+102196+123592</f>
        <v>763392</v>
      </c>
      <c r="D19" s="6">
        <f>315160+113282+137928+113676+125919</f>
        <v>805965</v>
      </c>
      <c r="E19" s="6">
        <f>289819+114734+150611+130077+145022</f>
        <v>830263</v>
      </c>
      <c r="F19" s="6">
        <f>422528+513326</f>
        <v>935854</v>
      </c>
      <c r="G19" s="6">
        <f>253924+184251+214801+190619+189013</f>
        <v>1032608</v>
      </c>
      <c r="H19" s="6">
        <f>314808+221751+229593+225688+234835</f>
        <v>1226675</v>
      </c>
      <c r="I19" s="6">
        <f>332552+302871+301712+292369+282188</f>
        <v>1511692</v>
      </c>
      <c r="J19" s="6">
        <v>1596543</v>
      </c>
      <c r="K19" s="6">
        <v>2107444</v>
      </c>
      <c r="L19" s="6">
        <v>1850633</v>
      </c>
    </row>
    <row r="20" spans="1:12" ht="12.75">
      <c r="A20" s="8" t="s">
        <v>79</v>
      </c>
      <c r="B20" s="6">
        <f>102530+92397+71070+79767+50737</f>
        <v>396501</v>
      </c>
      <c r="C20" s="6">
        <f>125369+109594+82567+98258+60573</f>
        <v>476361</v>
      </c>
      <c r="D20" s="6">
        <f>136639+116883+88485+96640+68234</f>
        <v>506881</v>
      </c>
      <c r="E20" s="6">
        <f>161349+136749+106395+116566+81889</f>
        <v>602948</v>
      </c>
      <c r="F20" s="6">
        <f>391686+309271</f>
        <v>700957</v>
      </c>
      <c r="G20" s="6">
        <f>201183+176699+150792+148408+126771</f>
        <v>803853</v>
      </c>
      <c r="H20" s="6">
        <f>229524+203377+191449+187048+153554</f>
        <v>964952</v>
      </c>
      <c r="I20" s="6">
        <f>288272+261764+256528+245225+216968</f>
        <v>1268757</v>
      </c>
      <c r="J20" s="6">
        <v>1445606</v>
      </c>
      <c r="K20" s="6">
        <v>1834035</v>
      </c>
      <c r="L20" s="6">
        <v>2090389</v>
      </c>
    </row>
    <row r="21" spans="1:12" ht="12.75">
      <c r="A21" s="8" t="s">
        <v>80</v>
      </c>
      <c r="B21" s="6">
        <f>143075+37095+48393+38050+40617</f>
        <v>307230</v>
      </c>
      <c r="C21" s="6">
        <f>156751+41069+54796+39162+45368</f>
        <v>337146</v>
      </c>
      <c r="D21" s="6">
        <f>166638+53735+62522+47262+50459</f>
        <v>380616</v>
      </c>
      <c r="E21" s="6">
        <f>165101+61026+78538+59961+61840</f>
        <v>426466</v>
      </c>
      <c r="F21" s="6">
        <f>207997+268532</f>
        <v>476529</v>
      </c>
      <c r="G21" s="6">
        <f>165685+100878+119797+104777+98347</f>
        <v>589484</v>
      </c>
      <c r="H21" s="6">
        <f>176604+140150+160296+127493+120237</f>
        <v>724780</v>
      </c>
      <c r="I21" s="6">
        <f>243098+171595+175564+160269+162263</f>
        <v>912789</v>
      </c>
      <c r="J21" s="6">
        <v>1213807</v>
      </c>
      <c r="K21" s="6">
        <v>1335646</v>
      </c>
      <c r="L21" s="6">
        <v>1847044</v>
      </c>
    </row>
    <row r="22" spans="1:12" ht="12.75">
      <c r="A22" s="8" t="s">
        <v>81</v>
      </c>
      <c r="B22" s="6">
        <f>42160+35186+25459+29242+16611</f>
        <v>148658</v>
      </c>
      <c r="C22" s="6">
        <f>46826+37974+26988+30840+16819</f>
        <v>159447</v>
      </c>
      <c r="D22" s="6">
        <f>56263+41181+32593+34693+21452</f>
        <v>186182</v>
      </c>
      <c r="E22" s="6">
        <f>67282+54328+40858+45615+26134</f>
        <v>234217</v>
      </c>
      <c r="F22" s="6">
        <f>166787+123617</f>
        <v>290404</v>
      </c>
      <c r="G22" s="6">
        <f>95658+79613+68451+66776+46210</f>
        <v>356708</v>
      </c>
      <c r="H22" s="6">
        <f>114001+99907+86117+82427+64006</f>
        <v>446458</v>
      </c>
      <c r="I22" s="6">
        <f>147320+127016+115916+109746+85474</f>
        <v>585472</v>
      </c>
      <c r="J22" s="6">
        <v>852180</v>
      </c>
      <c r="K22" s="6">
        <v>1052703</v>
      </c>
      <c r="L22" s="6">
        <v>1440761</v>
      </c>
    </row>
    <row r="23" spans="1:12" ht="12.75">
      <c r="A23" s="8" t="s">
        <v>82</v>
      </c>
      <c r="B23" s="6">
        <f>46506+10135+11116+7784+8895</f>
        <v>84436</v>
      </c>
      <c r="C23" s="6">
        <f>49088+11024+13260+8823+11156</f>
        <v>93351</v>
      </c>
      <c r="D23" s="6">
        <f>56444+12224+13624+9254+10388</f>
        <v>101934</v>
      </c>
      <c r="E23" s="6">
        <f>55807+17763+20562+13813+15385</f>
        <v>123330</v>
      </c>
      <c r="F23" s="6">
        <f>93984+56219</f>
        <v>150203</v>
      </c>
      <c r="G23" s="6">
        <f>66230+30831+31686+25891+25906</f>
        <v>180544</v>
      </c>
      <c r="H23" s="6">
        <v>368975</v>
      </c>
      <c r="I23" s="6">
        <f>94182+71042+71645+52586+46944</f>
        <v>336399</v>
      </c>
      <c r="J23" s="6">
        <v>461960</v>
      </c>
      <c r="K23" s="6">
        <v>698095</v>
      </c>
      <c r="L23" s="6">
        <v>875435</v>
      </c>
    </row>
    <row r="24" spans="1:12" ht="12.75">
      <c r="A24" s="8" t="s">
        <v>83</v>
      </c>
      <c r="B24" s="6">
        <f>7021+5446+3804+3560+2284+3978+738+813+559+513+535+412+304+342+246+242+152</f>
        <v>30949</v>
      </c>
      <c r="C24" s="6">
        <f>9036+6902+4568+4580+2794+4895+1024+1098+737+706+710+571+359+445+295+254+290</f>
        <v>39264</v>
      </c>
      <c r="D24" s="6">
        <f>9444+6635+4545+4698+2645+6026+1155+1238+844+753+893+583+363+397+228+354+279</f>
        <v>41080</v>
      </c>
      <c r="E24" s="6">
        <f>13193+9908+6630+6243+4052+5651+1509+1515+1169+797+802+688+440+451+437+194+31+24+12+8+9+3+6+4+2+2+1+2</f>
        <v>53783</v>
      </c>
      <c r="F24" s="6">
        <f>49750+22545</f>
        <v>72295</v>
      </c>
      <c r="G24" s="6">
        <f>21388+17609+12026+11039+7086+7915+2831+2987+2057+1866+1513+1266+781+779+512+189+20+30+30+20</f>
        <v>91944</v>
      </c>
      <c r="H24" s="12" t="s">
        <v>6</v>
      </c>
      <c r="I24" s="6">
        <v>187262</v>
      </c>
      <c r="J24" s="6">
        <v>263171</v>
      </c>
      <c r="K24" s="6">
        <v>449773</v>
      </c>
      <c r="L24" s="6">
        <v>704887</v>
      </c>
    </row>
    <row r="25" spans="1:12" ht="12.75">
      <c r="A25" s="8" t="s">
        <v>84</v>
      </c>
      <c r="B25" s="6">
        <v>20698</v>
      </c>
      <c r="C25" s="6">
        <v>19140</v>
      </c>
      <c r="D25" s="6">
        <v>68885</v>
      </c>
      <c r="E25" s="6">
        <v>48300</v>
      </c>
      <c r="F25" s="12" t="s">
        <v>5</v>
      </c>
      <c r="G25" s="6">
        <v>13631</v>
      </c>
      <c r="H25" s="6">
        <v>63797</v>
      </c>
      <c r="I25" s="12" t="s">
        <v>5</v>
      </c>
      <c r="J25" s="12" t="s">
        <v>5</v>
      </c>
      <c r="K25" s="12" t="s">
        <v>5</v>
      </c>
      <c r="L25" s="12" t="s">
        <v>5</v>
      </c>
    </row>
    <row r="26" spans="2:9" ht="12.75">
      <c r="B26" s="8"/>
      <c r="C26" s="8"/>
      <c r="D26" s="8"/>
      <c r="E26" s="8"/>
      <c r="F26" s="8"/>
      <c r="G26" s="8"/>
      <c r="H26" s="8"/>
      <c r="I26" s="8"/>
    </row>
    <row r="27" ht="12.75">
      <c r="A27" s="6" t="s">
        <v>85</v>
      </c>
    </row>
    <row r="28" ht="12.75">
      <c r="A28" s="6" t="s">
        <v>86</v>
      </c>
    </row>
    <row r="29" ht="12.75">
      <c r="A29" s="6" t="s">
        <v>94</v>
      </c>
    </row>
    <row r="30" ht="12.75">
      <c r="A30" s="6" t="s">
        <v>89</v>
      </c>
    </row>
    <row r="33" ht="12.75">
      <c r="A33" s="6" t="s">
        <v>90</v>
      </c>
    </row>
    <row r="34" ht="12.75">
      <c r="A34" s="6" t="s">
        <v>88</v>
      </c>
    </row>
    <row r="35" s="42" customFormat="1" ht="12.75">
      <c r="A35" s="78"/>
    </row>
    <row r="36" ht="12.75">
      <c r="A36" s="6" t="s">
        <v>91</v>
      </c>
    </row>
    <row r="37" ht="12.75">
      <c r="A37" s="6" t="s">
        <v>92</v>
      </c>
    </row>
    <row r="38" ht="12.75">
      <c r="A38" s="6" t="s">
        <v>93</v>
      </c>
    </row>
    <row r="40" ht="12.75">
      <c r="A40" s="6" t="s">
        <v>87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3.140625" style="6" customWidth="1"/>
    <col min="2" max="2" width="12.00390625" style="6" customWidth="1"/>
    <col min="3" max="16384" width="11.57421875" style="6" customWidth="1"/>
  </cols>
  <sheetData>
    <row r="1" spans="1:8" s="42" customFormat="1" ht="18">
      <c r="A1" s="41" t="s">
        <v>95</v>
      </c>
      <c r="B1" s="30"/>
      <c r="C1" s="30"/>
      <c r="D1" s="30"/>
      <c r="E1" s="30"/>
      <c r="F1" s="30"/>
      <c r="G1" s="30"/>
      <c r="H1" s="30"/>
    </row>
    <row r="2" s="30" customFormat="1" ht="15">
      <c r="A2" s="31" t="s">
        <v>40</v>
      </c>
    </row>
    <row r="3" ht="15">
      <c r="B3" s="17"/>
    </row>
    <row r="4" spans="1:12" s="62" customFormat="1" ht="15">
      <c r="A4" s="84" t="s">
        <v>96</v>
      </c>
      <c r="B4" s="84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62" customFormat="1" ht="12.75">
      <c r="A5" s="72"/>
      <c r="B5" s="73">
        <v>1900</v>
      </c>
      <c r="C5" s="73">
        <v>1910</v>
      </c>
      <c r="D5" s="73">
        <v>1920</v>
      </c>
      <c r="E5" s="73">
        <v>1930</v>
      </c>
      <c r="F5" s="73">
        <v>1940</v>
      </c>
      <c r="G5" s="73">
        <v>1950</v>
      </c>
      <c r="H5" s="73">
        <v>1960</v>
      </c>
      <c r="I5" s="73">
        <v>1970</v>
      </c>
      <c r="J5" s="73">
        <v>1981</v>
      </c>
      <c r="K5" s="73">
        <v>1991</v>
      </c>
      <c r="L5" s="73">
        <v>2001</v>
      </c>
    </row>
    <row r="6" spans="1:12" s="42" customFormat="1" ht="12.75">
      <c r="A6" s="49" t="s">
        <v>1</v>
      </c>
      <c r="B6" s="49">
        <v>9530265</v>
      </c>
      <c r="C6" s="49">
        <v>10270662</v>
      </c>
      <c r="D6" s="49">
        <v>11016460</v>
      </c>
      <c r="E6" s="49">
        <v>12111989</v>
      </c>
      <c r="F6" s="49">
        <v>13464194</v>
      </c>
      <c r="G6" s="49">
        <v>14507071</v>
      </c>
      <c r="H6" s="49">
        <v>15718404</v>
      </c>
      <c r="I6" s="49">
        <v>17398896</v>
      </c>
      <c r="J6" s="49">
        <v>19191622</v>
      </c>
      <c r="K6" s="49">
        <v>19835822</v>
      </c>
      <c r="L6" s="49">
        <v>20834489</v>
      </c>
    </row>
    <row r="7" spans="1:12" ht="12.75">
      <c r="A7" s="8" t="s">
        <v>66</v>
      </c>
      <c r="B7" s="6">
        <v>1070030</v>
      </c>
      <c r="C7" s="6">
        <v>1170481</v>
      </c>
      <c r="D7" s="6">
        <f>218090+221892+228509+226016+227136</f>
        <v>1121643</v>
      </c>
      <c r="E7" s="6">
        <f>246807+236504+270754+262667+266798</f>
        <v>1283530</v>
      </c>
      <c r="F7" s="6">
        <f>219274+189679+205232+238950+257575</f>
        <v>1110710</v>
      </c>
      <c r="G7" s="6">
        <v>1254703</v>
      </c>
      <c r="H7" s="6">
        <v>1455572</v>
      </c>
      <c r="I7" s="6">
        <v>1564136</v>
      </c>
      <c r="J7" s="6">
        <v>1491443</v>
      </c>
      <c r="K7" s="6">
        <v>978088</v>
      </c>
      <c r="L7" s="6">
        <v>936043</v>
      </c>
    </row>
    <row r="8" spans="1:12" ht="12.75">
      <c r="A8" s="8" t="s">
        <v>67</v>
      </c>
      <c r="B8" s="6">
        <f>214573+215737+211997+211840+193188</f>
        <v>1047335</v>
      </c>
      <c r="C8" s="6">
        <f>231152+237758+235976+237023+213030</f>
        <v>1154939</v>
      </c>
      <c r="D8" s="6">
        <f>227019+234447+229265+240523+223617</f>
        <v>1154871</v>
      </c>
      <c r="E8" s="6">
        <f>251417+264751+259190+256683+239771</f>
        <v>1271812</v>
      </c>
      <c r="F8" s="6">
        <f>263200+273272+280430+281731+271025</f>
        <v>1369658</v>
      </c>
      <c r="G8" s="6">
        <v>1184090</v>
      </c>
      <c r="H8" s="6">
        <v>1322733</v>
      </c>
      <c r="I8" s="6">
        <v>1571615</v>
      </c>
      <c r="J8" s="6">
        <v>1604131</v>
      </c>
      <c r="K8" s="6">
        <v>1187252</v>
      </c>
      <c r="L8" s="6">
        <v>927598</v>
      </c>
    </row>
    <row r="9" spans="1:12" ht="12.75">
      <c r="A9" s="8" t="s">
        <v>68</v>
      </c>
      <c r="B9" s="6">
        <f>211939+183098+213726+188837+174353</f>
        <v>971953</v>
      </c>
      <c r="C9" s="6">
        <f>233527+192548+220724+196434+200824</f>
        <v>1044057</v>
      </c>
      <c r="D9" s="6">
        <f>248561+214914+243068+216475+226811</f>
        <v>1149829</v>
      </c>
      <c r="E9" s="6">
        <f>250804+212438+240761+215125+218960</f>
        <v>1138088</v>
      </c>
      <c r="F9" s="6">
        <f>285820+258094+289764+259373+272052</f>
        <v>1365103</v>
      </c>
      <c r="G9" s="6">
        <v>1147388</v>
      </c>
      <c r="H9" s="6">
        <v>1309411</v>
      </c>
      <c r="I9" s="6">
        <v>1483008</v>
      </c>
      <c r="J9" s="6">
        <v>1606851</v>
      </c>
      <c r="K9" s="6">
        <v>1505300</v>
      </c>
      <c r="L9" s="6">
        <v>1022732</v>
      </c>
    </row>
    <row r="10" spans="1:12" ht="12.75">
      <c r="A10" s="8" t="s">
        <v>69</v>
      </c>
      <c r="B10" s="6">
        <f>163979+164173+151795+174897+149180</f>
        <v>804024</v>
      </c>
      <c r="C10" s="6">
        <f>185273+185599+176622+203549+163061</f>
        <v>914104</v>
      </c>
      <c r="D10" s="6">
        <f>220017+217828+211867+229204+185662</f>
        <v>1064578</v>
      </c>
      <c r="E10" s="6">
        <f>214837+221670+217805+245739+208400</f>
        <v>1108451</v>
      </c>
      <c r="F10" s="6">
        <f>255403+262002+260298+278381+241030</f>
        <v>1297114</v>
      </c>
      <c r="G10" s="6">
        <f>266530+272423+283427+293068+247606</f>
        <v>1363054</v>
      </c>
      <c r="H10" s="6">
        <v>1206941</v>
      </c>
      <c r="I10" s="6">
        <v>1337224</v>
      </c>
      <c r="J10" s="6">
        <v>1597476</v>
      </c>
      <c r="K10" s="6">
        <v>1631351</v>
      </c>
      <c r="L10" s="6">
        <v>1201052</v>
      </c>
    </row>
    <row r="11" spans="1:12" ht="12.75">
      <c r="A11" s="8" t="s">
        <v>70</v>
      </c>
      <c r="B11" s="6">
        <f>190496+133127+171590+155330+169291</f>
        <v>819834</v>
      </c>
      <c r="C11" s="6">
        <f>201656+144628+179033+158446+173168</f>
        <v>856931</v>
      </c>
      <c r="D11" s="6">
        <f>235546+163609+190096+176292+191539</f>
        <v>957082</v>
      </c>
      <c r="E11" s="6">
        <f>251441+191201+225368+212930+216334</f>
        <v>1097274</v>
      </c>
      <c r="F11" s="6">
        <f>267402+204556+236024+230990+228232</f>
        <v>1167204</v>
      </c>
      <c r="G11" s="6">
        <f>297788+253322+273116+259942+262377</f>
        <v>1346545</v>
      </c>
      <c r="H11" s="6">
        <v>1105389</v>
      </c>
      <c r="I11" s="6">
        <v>1261098</v>
      </c>
      <c r="J11" s="6">
        <v>1461693</v>
      </c>
      <c r="K11" s="6">
        <v>1586109</v>
      </c>
      <c r="L11" s="6">
        <v>1554982</v>
      </c>
    </row>
    <row r="12" spans="1:12" ht="12.75">
      <c r="A12" s="8" t="s">
        <v>71</v>
      </c>
      <c r="B12" s="6">
        <f>166688+159261+136148+161288+112873</f>
        <v>736258</v>
      </c>
      <c r="C12" s="6">
        <f>169468+161719+138388+168231+121849</f>
        <v>759655</v>
      </c>
      <c r="D12" s="6">
        <f>188937+175387+160279+177711+131989</f>
        <v>834303</v>
      </c>
      <c r="E12" s="6">
        <f>214956+207787+192371+211112+162222</f>
        <v>988448</v>
      </c>
      <c r="F12" s="6">
        <f>233437+227290+218238+236256+192121</f>
        <v>1107342</v>
      </c>
      <c r="G12" s="6">
        <f>257666+250130+241880+252822+215846</f>
        <v>1218344</v>
      </c>
      <c r="H12" s="6">
        <v>1244408</v>
      </c>
      <c r="I12" s="6">
        <v>1118575</v>
      </c>
      <c r="J12" s="6">
        <v>1258533</v>
      </c>
      <c r="K12" s="6">
        <v>1533448</v>
      </c>
      <c r="L12" s="6">
        <v>1712443</v>
      </c>
    </row>
    <row r="13" spans="1:12" ht="12.75">
      <c r="A13" s="8" t="s">
        <v>72</v>
      </c>
      <c r="B13" s="6">
        <f>213113+88984+125468+112191+125626</f>
        <v>665382</v>
      </c>
      <c r="C13" s="6">
        <f>221438+97280+142448+122184+135135</f>
        <v>718485</v>
      </c>
      <c r="D13" s="6">
        <f>223786+120922+152212+136207+140098</f>
        <v>773225</v>
      </c>
      <c r="E13" s="6">
        <f>248801+129391+163377+152208+157254</f>
        <v>851031</v>
      </c>
      <c r="F13" s="6">
        <f>264336+158312+199456+188393+183075</f>
        <v>993572</v>
      </c>
      <c r="G13" s="6">
        <f>257129+180784+208254+200945+189666</f>
        <v>1036778</v>
      </c>
      <c r="H13" s="6">
        <v>1205113</v>
      </c>
      <c r="I13" s="6">
        <v>1047759</v>
      </c>
      <c r="J13" s="6">
        <v>1224419</v>
      </c>
      <c r="K13" s="6">
        <v>1425248</v>
      </c>
      <c r="L13" s="6">
        <v>1662390</v>
      </c>
    </row>
    <row r="14" spans="1:12" ht="12.75">
      <c r="A14" s="8" t="s">
        <v>73</v>
      </c>
      <c r="B14" s="6">
        <f>123684+134145+101175+129330+95104</f>
        <v>583438</v>
      </c>
      <c r="C14" s="6">
        <f>135542+142326+108941+137542+96911</f>
        <v>621262</v>
      </c>
      <c r="D14" s="6">
        <f>148314+138320+115559+136819+108255</f>
        <v>647267</v>
      </c>
      <c r="E14" s="6">
        <f>160732+160702+136669+162398+124707</f>
        <v>745208</v>
      </c>
      <c r="F14" s="6">
        <f>158618+192406+174546+190248+192307</f>
        <v>908125</v>
      </c>
      <c r="G14" s="6">
        <f>203894+207808+195703+205682+193478</f>
        <v>1006565</v>
      </c>
      <c r="H14" s="6">
        <v>1113615</v>
      </c>
      <c r="I14" s="6">
        <v>1202252</v>
      </c>
      <c r="J14" s="6">
        <v>1119307</v>
      </c>
      <c r="K14" s="6">
        <v>1251522</v>
      </c>
      <c r="L14" s="6">
        <v>1636911</v>
      </c>
    </row>
    <row r="15" spans="1:12" ht="12.75">
      <c r="A15" s="8" t="s">
        <v>74</v>
      </c>
      <c r="B15" s="6">
        <f>221509+76224+110940+86920+105913</f>
        <v>601506</v>
      </c>
      <c r="C15" s="6">
        <f>216251+75268+115405+88925+112743</f>
        <v>608592</v>
      </c>
      <c r="D15" s="6">
        <f>222103+96486+129015+106634+125837</f>
        <v>680075</v>
      </c>
      <c r="E15" s="6">
        <f>212580+100833+141120+115188+127711</f>
        <v>697432</v>
      </c>
      <c r="F15" s="6">
        <f>149161+138849+154172+121517+244108</f>
        <v>807807</v>
      </c>
      <c r="G15" s="6">
        <f>224243+169684+192367+179121+179060</f>
        <v>944475</v>
      </c>
      <c r="H15" s="6">
        <v>962528</v>
      </c>
      <c r="I15" s="6">
        <v>1176850</v>
      </c>
      <c r="J15" s="6">
        <v>1038349</v>
      </c>
      <c r="K15" s="6">
        <v>1205572</v>
      </c>
      <c r="L15" s="6">
        <v>1517161</v>
      </c>
    </row>
    <row r="16" spans="1:12" ht="12.75">
      <c r="A16" s="8" t="s">
        <v>75</v>
      </c>
      <c r="B16" s="6">
        <f>114205+104545+83031+112950+76407</f>
        <v>491138</v>
      </c>
      <c r="C16" s="6">
        <f>121659+110477+84557+118337+80262</f>
        <v>515292</v>
      </c>
      <c r="D16" s="6">
        <f>134962+116058+96785+118348+84992</f>
        <v>551145</v>
      </c>
      <c r="E16" s="6">
        <f>140619+125426+104666+132329+98642</f>
        <v>601682</v>
      </c>
      <c r="F16" s="6">
        <f>117703+150842+129481+142045+161732</f>
        <v>701803</v>
      </c>
      <c r="G16" s="6">
        <f>192743+177092+165563+175925+151994</f>
        <v>863317</v>
      </c>
      <c r="H16" s="6">
        <v>928019</v>
      </c>
      <c r="I16" s="6">
        <v>1083343</v>
      </c>
      <c r="J16" s="6">
        <v>1193807</v>
      </c>
      <c r="K16" s="6">
        <v>1103166</v>
      </c>
      <c r="L16" s="6">
        <v>1309955</v>
      </c>
    </row>
    <row r="17" spans="1:12" ht="12.75">
      <c r="A17" s="8" t="s">
        <v>76</v>
      </c>
      <c r="B17" s="6">
        <f>200216+60986+85141+65856+87351</f>
        <v>499550</v>
      </c>
      <c r="C17" s="6">
        <f>199449+62152+91592+67074+91423</f>
        <v>511690</v>
      </c>
      <c r="D17" s="6">
        <f>191135+73372+95900+77920+93823</f>
        <v>532150</v>
      </c>
      <c r="E17" s="6">
        <f>189271+81204+112101+92871+107335</f>
        <v>582782</v>
      </c>
      <c r="F17" s="6">
        <f>112129+104155+123647+94859+187110</f>
        <v>621900</v>
      </c>
      <c r="G17" s="6">
        <f>220117+124349+139277+128642+141836</f>
        <v>754221</v>
      </c>
      <c r="H17" s="6">
        <v>875194</v>
      </c>
      <c r="I17" s="6">
        <v>920141</v>
      </c>
      <c r="J17" s="6">
        <v>1155980</v>
      </c>
      <c r="K17" s="6">
        <v>1008239</v>
      </c>
      <c r="L17" s="6">
        <v>1230945</v>
      </c>
    </row>
    <row r="18" spans="1:12" ht="12.75">
      <c r="A18" s="8" t="s">
        <v>77</v>
      </c>
      <c r="B18" s="6">
        <f>80786+84079+60468+80231+52541</f>
        <v>358105</v>
      </c>
      <c r="C18" s="6">
        <f>88654+91571+63935+88462+57425</f>
        <v>390047</v>
      </c>
      <c r="D18" s="6">
        <f>103216+91932+72375+87904+66255</f>
        <v>421682</v>
      </c>
      <c r="E18" s="6">
        <f>110978+110866+82344+102360+72618</f>
        <v>479166</v>
      </c>
      <c r="F18" s="6">
        <f>88867+111371+94212+115219+120122</f>
        <v>529791</v>
      </c>
      <c r="G18" s="6">
        <f>136904+133353+114054+126206+105870</f>
        <v>616387</v>
      </c>
      <c r="H18" s="6">
        <v>783085</v>
      </c>
      <c r="I18" s="6">
        <v>878954</v>
      </c>
      <c r="J18" s="6">
        <v>1052866</v>
      </c>
      <c r="K18" s="6">
        <v>1153216</v>
      </c>
      <c r="L18" s="6">
        <v>1130990</v>
      </c>
    </row>
    <row r="19" spans="1:12" ht="12.75">
      <c r="A19" s="8" t="s">
        <v>78</v>
      </c>
      <c r="B19" s="6">
        <f>167832+41287+54546+45834+54806</f>
        <v>364305</v>
      </c>
      <c r="C19" s="6">
        <f>176985+46965+66745+51600+65158</f>
        <v>407453</v>
      </c>
      <c r="D19" s="6">
        <f>175500+57089+71385+58607+67526</f>
        <v>430107</v>
      </c>
      <c r="E19" s="6">
        <f>162638+58022+79458+67505+77539</f>
        <v>445162</v>
      </c>
      <c r="F19" s="6">
        <f>91218+87688+95949+72299+166172</f>
        <v>513326</v>
      </c>
      <c r="G19" s="6">
        <f>144452+96540+117093+105235+107128</f>
        <v>570448</v>
      </c>
      <c r="H19" s="6">
        <v>679994</v>
      </c>
      <c r="I19" s="6">
        <v>819402</v>
      </c>
      <c r="J19" s="6">
        <v>873971</v>
      </c>
      <c r="K19" s="6">
        <v>1105315</v>
      </c>
      <c r="L19" s="6">
        <v>963334</v>
      </c>
    </row>
    <row r="20" spans="1:12" ht="12.75">
      <c r="A20" s="8" t="s">
        <v>79</v>
      </c>
      <c r="B20" s="6">
        <f>53125+47259+35263+42842+26227</f>
        <v>204716</v>
      </c>
      <c r="C20" s="6">
        <f>66201+56223+41632+52790+31026</f>
        <v>247872</v>
      </c>
      <c r="D20" s="6">
        <f>72581+62192+46691+52001+36472</f>
        <v>269937</v>
      </c>
      <c r="E20" s="6">
        <f>85980+72242+56030+64541+42788</f>
        <v>321581</v>
      </c>
      <c r="F20" s="6">
        <f>51917+74739+73473+87710+103847</f>
        <v>391686</v>
      </c>
      <c r="G20" s="6">
        <f>114074+100868+85707+84614+71267</f>
        <v>456530</v>
      </c>
      <c r="H20" s="6">
        <v>547995</v>
      </c>
      <c r="I20" s="6">
        <v>706930</v>
      </c>
      <c r="J20" s="6">
        <v>813485</v>
      </c>
      <c r="K20" s="6">
        <v>989769</v>
      </c>
      <c r="L20" s="6">
        <v>1115826</v>
      </c>
    </row>
    <row r="21" spans="1:12" ht="12.75">
      <c r="A21" s="8" t="s">
        <v>80</v>
      </c>
      <c r="B21" s="6">
        <f>79176+18127+24406+18385+20375</f>
        <v>160469</v>
      </c>
      <c r="C21" s="6">
        <f>87689+20014+28222+19454+23144</f>
        <v>178523</v>
      </c>
      <c r="D21" s="6">
        <f>95083+27597+33143+24632+27030</f>
        <v>207485</v>
      </c>
      <c r="E21" s="6">
        <f>94672+30850+42089+32104+34647</f>
        <v>234362</v>
      </c>
      <c r="F21" s="6">
        <f>42099+40111+50054+36294+99974</f>
        <v>268532</v>
      </c>
      <c r="G21" s="6">
        <f>96297+56093+69576+60974+59352</f>
        <v>342292</v>
      </c>
      <c r="H21" s="6">
        <v>420691</v>
      </c>
      <c r="I21" s="6">
        <v>532815</v>
      </c>
      <c r="J21" s="6">
        <v>702804</v>
      </c>
      <c r="K21" s="6">
        <v>774254</v>
      </c>
      <c r="L21" s="6">
        <v>1021925</v>
      </c>
    </row>
    <row r="22" spans="1:12" ht="12.75">
      <c r="A22" s="8" t="s">
        <v>81</v>
      </c>
      <c r="B22" s="6">
        <f>21332+18120+12564+15325+8533</f>
        <v>75874</v>
      </c>
      <c r="C22" s="6">
        <f>24569+20278+13656+16341+8924</f>
        <v>83768</v>
      </c>
      <c r="D22" s="6">
        <f>30956+21924+17113+18889+11615</f>
        <v>100497</v>
      </c>
      <c r="E22" s="6">
        <f>38113+30669+22315+26060+14768</f>
        <v>131925</v>
      </c>
      <c r="F22" s="6">
        <f>19702+33610+30384+36521+46570</f>
        <v>166787</v>
      </c>
      <c r="G22" s="6">
        <f>58251+48297+41572+40942+28010</f>
        <v>217072</v>
      </c>
      <c r="H22" s="6">
        <f>68676+59859+50834+50120+38186</f>
        <v>267675</v>
      </c>
      <c r="I22" s="6">
        <f>87889+76703+70517+67268+52278</f>
        <v>354655</v>
      </c>
      <c r="J22" s="6">
        <v>516398</v>
      </c>
      <c r="K22" s="6">
        <v>641737</v>
      </c>
      <c r="L22" s="6">
        <v>841885</v>
      </c>
    </row>
    <row r="23" spans="1:12" ht="12.75">
      <c r="A23" s="8" t="s">
        <v>82</v>
      </c>
      <c r="B23" s="6">
        <f>27337+5300+6071+4156+5039</f>
        <v>47903</v>
      </c>
      <c r="C23" s="6">
        <f>29766+5806+7268+4686+6417</f>
        <v>53943</v>
      </c>
      <c r="D23" s="6">
        <f>34294+6669+7850+5359+6164</f>
        <v>60336</v>
      </c>
      <c r="E23" s="6">
        <f>35281+10063+12290+8340+9622</f>
        <v>75596</v>
      </c>
      <c r="F23" s="6">
        <f>12559+10880+15727+12615+42203</f>
        <v>93984</v>
      </c>
      <c r="G23" s="6">
        <f>42212+19403+19837+16571+17236</f>
        <v>115259</v>
      </c>
      <c r="H23" s="6">
        <v>241778</v>
      </c>
      <c r="I23" s="6">
        <f>60284+43949+45950+33522+30711</f>
        <v>214416</v>
      </c>
      <c r="J23" s="6">
        <v>298505</v>
      </c>
      <c r="K23" s="6">
        <v>445807</v>
      </c>
      <c r="L23" s="6">
        <v>556016</v>
      </c>
    </row>
    <row r="24" spans="1:12" ht="12.75">
      <c r="A24" s="8" t="s">
        <v>83</v>
      </c>
      <c r="B24" s="6">
        <f>4022+3180+2106+2129+1336+2609+431+507+349+336+341+282+210+231+174+187+124</f>
        <v>18554</v>
      </c>
      <c r="C24" s="6">
        <f>5198+4047+2643+2805+1704+3236+617+680+462+459+486+391+241+311+192+191+207</f>
        <v>23870</v>
      </c>
      <c r="D24" s="6">
        <f>5762+4036+2672+2888+1661+4053+723+778+540+509+615+404+254+267+162+258+204</f>
        <v>25786</v>
      </c>
      <c r="E24" s="6">
        <f>8424+6224+4273+3963+2661+3961+944+1032+785+584+586+488+305+320+285+152+25+18+8+4+8+3+4+4+1+2+1+1</f>
        <v>35066</v>
      </c>
      <c r="F24" s="6">
        <f>11499+8193+6241+6071+4143+5375+1364+1680+1043+866+929+702+453+495+324+199+40+38+26+21+10+10+11+6+5+6</f>
        <v>49750</v>
      </c>
      <c r="G24" s="6">
        <f>13859+11520+8138+7637+4856+5841+2036+2239+1553+1411+1121+1004+610+688+401+169+20+30+30+20</f>
        <v>63183</v>
      </c>
      <c r="H24" s="12" t="s">
        <v>6</v>
      </c>
      <c r="I24" s="6">
        <v>125727</v>
      </c>
      <c r="J24" s="6">
        <v>181606</v>
      </c>
      <c r="K24" s="6">
        <v>310429</v>
      </c>
      <c r="L24" s="6">
        <v>492301</v>
      </c>
    </row>
    <row r="25" spans="1:12" ht="12.75">
      <c r="A25" s="8" t="s">
        <v>84</v>
      </c>
      <c r="B25" s="6">
        <v>9891</v>
      </c>
      <c r="C25" s="6">
        <v>9698</v>
      </c>
      <c r="D25" s="6">
        <v>34462</v>
      </c>
      <c r="E25" s="6">
        <v>23393</v>
      </c>
      <c r="F25" s="12" t="s">
        <v>5</v>
      </c>
      <c r="G25" s="6">
        <v>6420</v>
      </c>
      <c r="H25" s="6">
        <v>48263</v>
      </c>
      <c r="I25" s="12" t="s">
        <v>5</v>
      </c>
      <c r="J25" s="12" t="s">
        <v>5</v>
      </c>
      <c r="K25" s="12" t="s">
        <v>5</v>
      </c>
      <c r="L25" s="12" t="s">
        <v>5</v>
      </c>
    </row>
    <row r="26" spans="2:13" ht="12.75">
      <c r="B26" s="8"/>
      <c r="C26" s="8"/>
      <c r="D26" s="8"/>
      <c r="E26" s="8"/>
      <c r="F26" s="8"/>
      <c r="G26" s="8"/>
      <c r="H26" s="8"/>
      <c r="I26" s="8"/>
      <c r="M26" s="8"/>
    </row>
    <row r="27" ht="12.75">
      <c r="A27" s="6" t="s">
        <v>85</v>
      </c>
    </row>
    <row r="28" spans="1:13" ht="12.75">
      <c r="A28" s="6" t="s">
        <v>86</v>
      </c>
      <c r="H28" s="8"/>
      <c r="I28" s="8"/>
      <c r="M28" s="8"/>
    </row>
    <row r="29" spans="1:13" ht="12.75">
      <c r="A29" s="6" t="s">
        <v>94</v>
      </c>
      <c r="H29" s="8"/>
      <c r="I29" s="8"/>
      <c r="M29" s="8"/>
    </row>
    <row r="30" ht="12.75">
      <c r="A30" s="6" t="s">
        <v>89</v>
      </c>
    </row>
    <row r="33" ht="12.75">
      <c r="A33" s="6" t="s">
        <v>90</v>
      </c>
    </row>
    <row r="34" ht="12.75">
      <c r="A34" s="6" t="s">
        <v>88</v>
      </c>
    </row>
    <row r="35" s="42" customFormat="1" ht="12.75">
      <c r="A35" s="78"/>
    </row>
    <row r="36" ht="12.75">
      <c r="A36" s="6" t="s">
        <v>91</v>
      </c>
    </row>
    <row r="37" ht="12.75">
      <c r="A37" s="6" t="s">
        <v>92</v>
      </c>
    </row>
    <row r="38" ht="12.75">
      <c r="A38" s="6" t="s">
        <v>93</v>
      </c>
    </row>
    <row r="40" ht="12.75">
      <c r="A40" s="6" t="s">
        <v>87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5.28125" style="6" customWidth="1"/>
    <col min="2" max="2" width="11.57421875" style="6" customWidth="1"/>
    <col min="3" max="3" width="12.421875" style="6" customWidth="1"/>
    <col min="4" max="4" width="12.00390625" style="6" customWidth="1"/>
    <col min="5" max="6" width="11.57421875" style="6" customWidth="1"/>
    <col min="7" max="7" width="12.421875" style="6" customWidth="1"/>
    <col min="8" max="16384" width="11.57421875" style="6" customWidth="1"/>
  </cols>
  <sheetData>
    <row r="1" spans="1:8" s="42" customFormat="1" ht="18">
      <c r="A1" s="41" t="s">
        <v>97</v>
      </c>
      <c r="B1" s="30"/>
      <c r="C1" s="30"/>
      <c r="D1" s="30"/>
      <c r="E1" s="30"/>
      <c r="F1" s="30"/>
      <c r="G1" s="30"/>
      <c r="H1" s="30"/>
    </row>
    <row r="2" spans="1:6" s="42" customFormat="1" ht="15">
      <c r="A2" s="31" t="s">
        <v>39</v>
      </c>
      <c r="B2" s="31"/>
      <c r="C2" s="30"/>
      <c r="D2" s="30"/>
      <c r="E2" s="30"/>
      <c r="F2" s="30"/>
    </row>
    <row r="3" spans="1:2" ht="15">
      <c r="A3" s="17"/>
      <c r="B3" s="17"/>
    </row>
    <row r="4" spans="1:12" s="62" customFormat="1" ht="15">
      <c r="A4" s="84" t="s">
        <v>96</v>
      </c>
      <c r="B4" s="84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62" customFormat="1" ht="12.75">
      <c r="A5" s="72"/>
      <c r="B5" s="73">
        <v>1900</v>
      </c>
      <c r="C5" s="73">
        <v>1910</v>
      </c>
      <c r="D5" s="73">
        <v>1920</v>
      </c>
      <c r="E5" s="73">
        <v>1930</v>
      </c>
      <c r="F5" s="73">
        <v>1940</v>
      </c>
      <c r="G5" s="73">
        <v>1950</v>
      </c>
      <c r="H5" s="73">
        <v>1960</v>
      </c>
      <c r="I5" s="73">
        <v>1970</v>
      </c>
      <c r="J5" s="73">
        <v>1981</v>
      </c>
      <c r="K5" s="73">
        <v>1991</v>
      </c>
      <c r="L5" s="73">
        <v>2001</v>
      </c>
    </row>
    <row r="6" spans="1:12" s="42" customFormat="1" ht="12.75">
      <c r="A6" s="49" t="s">
        <v>1</v>
      </c>
      <c r="B6" s="49">
        <v>9087821</v>
      </c>
      <c r="C6" s="49">
        <v>9725024</v>
      </c>
      <c r="D6" s="49">
        <v>10373382</v>
      </c>
      <c r="E6" s="49">
        <v>11565805</v>
      </c>
      <c r="F6" s="49">
        <v>12413777</v>
      </c>
      <c r="G6" s="49">
        <v>13469684</v>
      </c>
      <c r="H6" s="49">
        <v>14810135</v>
      </c>
      <c r="I6" s="49">
        <v>16641747</v>
      </c>
      <c r="J6" s="49">
        <v>18491741</v>
      </c>
      <c r="K6" s="49">
        <v>19036446</v>
      </c>
      <c r="L6" s="49">
        <v>20012882</v>
      </c>
    </row>
    <row r="7" spans="1:12" ht="12.75">
      <c r="A7" s="8" t="s">
        <v>66</v>
      </c>
      <c r="B7" s="6">
        <v>1091022</v>
      </c>
      <c r="C7" s="6">
        <v>1196417</v>
      </c>
      <c r="D7" s="6">
        <f>224156+225773+233489+224090+224792</f>
        <v>1132300</v>
      </c>
      <c r="E7" s="6">
        <f>258071+243838+280628+269424+271621</f>
        <v>1323582</v>
      </c>
      <c r="F7" s="6">
        <f>223953+200106+211786+241188+260390</f>
        <v>1137423</v>
      </c>
      <c r="G7" s="6">
        <v>1317703</v>
      </c>
      <c r="H7" s="6">
        <v>1513635</v>
      </c>
      <c r="I7" s="6">
        <v>1645355</v>
      </c>
      <c r="J7" s="6">
        <v>1583910</v>
      </c>
      <c r="K7" s="6">
        <v>1031838</v>
      </c>
      <c r="L7" s="6">
        <v>987042</v>
      </c>
    </row>
    <row r="8" spans="1:12" ht="12.75">
      <c r="A8" s="8" t="s">
        <v>67</v>
      </c>
      <c r="B8" s="6">
        <f>222619+214174+215682+217572+195675</f>
        <v>1065722</v>
      </c>
      <c r="C8" s="6">
        <f>237756+238681+238600+241088+216906</f>
        <v>1173031</v>
      </c>
      <c r="D8" s="6">
        <f>233174+236100+233370+245575+226961</f>
        <v>1175180</v>
      </c>
      <c r="E8" s="6">
        <f>263510+268051+268155+265894+247739</f>
        <v>1313349</v>
      </c>
      <c r="F8" s="6">
        <f>271094+274236+285651+285818+272926</f>
        <v>1389725</v>
      </c>
      <c r="G8" s="6">
        <v>1250543</v>
      </c>
      <c r="H8" s="6">
        <v>1376707</v>
      </c>
      <c r="I8" s="6">
        <v>1648339</v>
      </c>
      <c r="J8" s="6">
        <v>1703919</v>
      </c>
      <c r="K8" s="6">
        <v>1249688</v>
      </c>
      <c r="L8" s="6">
        <v>978494</v>
      </c>
    </row>
    <row r="9" spans="1:12" ht="12.75">
      <c r="A9" s="8" t="s">
        <v>68</v>
      </c>
      <c r="B9" s="6">
        <f>213911+188186+212276+192521+180792</f>
        <v>987686</v>
      </c>
      <c r="C9" s="6">
        <f>234102+195163+219090+196616+202007</f>
        <v>1046978</v>
      </c>
      <c r="D9" s="6">
        <f>249950+218392+243185+219017+228216</f>
        <v>1158760</v>
      </c>
      <c r="E9" s="6">
        <f>255300+216048+239369+217287+225024</f>
        <v>1153028</v>
      </c>
      <c r="F9" s="6">
        <f>289772+263882+288617+258378+275683</f>
        <v>1376332</v>
      </c>
      <c r="G9" s="6">
        <v>1179364</v>
      </c>
      <c r="H9" s="6">
        <v>1369329</v>
      </c>
      <c r="I9" s="6">
        <v>1547187</v>
      </c>
      <c r="J9" s="6">
        <v>1695477</v>
      </c>
      <c r="K9" s="6">
        <v>1580502</v>
      </c>
      <c r="L9" s="6">
        <v>1080744</v>
      </c>
    </row>
    <row r="10" spans="1:12" ht="12.75">
      <c r="A10" s="8" t="s">
        <v>69</v>
      </c>
      <c r="B10" s="6">
        <f>160252+154687+151209+153164+135159</f>
        <v>754471</v>
      </c>
      <c r="C10" s="6">
        <f>179953+173089+172549+182758+147052</f>
        <v>855401</v>
      </c>
      <c r="D10" s="6">
        <f>213685+206593+204968+210554+168803</f>
        <v>1004603</v>
      </c>
      <c r="E10" s="6">
        <f>209352+213604+215617+238581+202874</f>
        <v>1080028</v>
      </c>
      <c r="F10" s="6">
        <f>247677+249510+247613+277492+225776</f>
        <v>1248068</v>
      </c>
      <c r="G10" s="6">
        <f>260046+266180+274545+287286+236733</f>
        <v>1324790</v>
      </c>
      <c r="H10" s="6">
        <v>1227082</v>
      </c>
      <c r="I10" s="6">
        <v>1372110</v>
      </c>
      <c r="J10" s="6">
        <v>1665836</v>
      </c>
      <c r="K10" s="6">
        <v>1708221</v>
      </c>
      <c r="L10" s="6">
        <v>1263528</v>
      </c>
    </row>
    <row r="11" spans="1:12" ht="12.75">
      <c r="A11" s="8" t="s">
        <v>70</v>
      </c>
      <c r="B11" s="6">
        <f>139211+145223+154634+152474+146324</f>
        <v>737866</v>
      </c>
      <c r="C11" s="6">
        <f>155726+138637+168953+161722+151027</f>
        <v>776065</v>
      </c>
      <c r="D11" s="6">
        <f>194524+159155+184724+168628+168028</f>
        <v>875059</v>
      </c>
      <c r="E11" s="7">
        <f>224866+201495+225198+204922+196779</f>
        <v>1053260</v>
      </c>
      <c r="F11" s="6">
        <f>239169+195806+198522+191216+190199</f>
        <v>1014912</v>
      </c>
      <c r="G11" s="6">
        <f>288600+248635+293086+239212+254973</f>
        <v>1324506</v>
      </c>
      <c r="H11" s="6">
        <v>1162308</v>
      </c>
      <c r="I11" s="6">
        <v>1287654</v>
      </c>
      <c r="J11" s="6">
        <v>1480485</v>
      </c>
      <c r="K11" s="6">
        <v>1651254</v>
      </c>
      <c r="L11" s="6">
        <v>1629701</v>
      </c>
    </row>
    <row r="12" spans="1:12" ht="12.75">
      <c r="A12" s="8" t="s">
        <v>71</v>
      </c>
      <c r="B12" s="6">
        <f>149913+142456+130365+144986+111006</f>
        <v>678726</v>
      </c>
      <c r="C12" s="6">
        <f>149101+146265+133594+148763+116013</f>
        <v>693736</v>
      </c>
      <c r="D12" s="6">
        <f>170035+154634+148349+158114+121946</f>
        <v>753078</v>
      </c>
      <c r="E12" s="6">
        <f>198972+194382+187601+194461+157423</f>
        <v>932839</v>
      </c>
      <c r="F12" s="6">
        <f>194519+195424+190458+198838+173034</f>
        <v>952273</v>
      </c>
      <c r="G12" s="6">
        <f>241897+239321+234458+233188+211391</f>
        <v>1160255</v>
      </c>
      <c r="H12" s="6">
        <v>1202331</v>
      </c>
      <c r="I12" s="6">
        <v>1120907</v>
      </c>
      <c r="J12" s="6">
        <v>1278895</v>
      </c>
      <c r="K12" s="6">
        <v>1570881</v>
      </c>
      <c r="L12" s="6">
        <v>1787805</v>
      </c>
    </row>
    <row r="13" spans="1:12" ht="12.75">
      <c r="A13" s="8" t="s">
        <v>72</v>
      </c>
      <c r="B13" s="6">
        <f>184960+88644+118628+110452+119917</f>
        <v>622601</v>
      </c>
      <c r="C13" s="6">
        <f>183402+95998+131779+119590+121572</f>
        <v>652341</v>
      </c>
      <c r="D13" s="6">
        <f>192028+115892+144534+129263+124117</f>
        <v>705834</v>
      </c>
      <c r="E13" s="6">
        <f>219107+133666+152381+149130+148387</f>
        <v>802671</v>
      </c>
      <c r="F13" s="6">
        <f>210823+171043+191771+184654+170272</f>
        <v>928563</v>
      </c>
      <c r="G13" s="6">
        <f>222948+168232+175606+169683+168902</f>
        <v>905371</v>
      </c>
      <c r="H13" s="6">
        <v>1162986</v>
      </c>
      <c r="I13" s="6">
        <v>1026226</v>
      </c>
      <c r="J13" s="6">
        <v>1230896</v>
      </c>
      <c r="K13" s="6">
        <v>1437258</v>
      </c>
      <c r="L13" s="6">
        <v>1716189</v>
      </c>
    </row>
    <row r="14" spans="1:12" ht="12.75">
      <c r="A14" s="8" t="s">
        <v>73</v>
      </c>
      <c r="B14" s="6">
        <f>121038+119869+97296+120011+94889</f>
        <v>553103</v>
      </c>
      <c r="C14" s="6">
        <f>124217+124136+101918+124456+94718</f>
        <v>569445</v>
      </c>
      <c r="D14" s="6">
        <f>137650+123383+107430+124488+101727</f>
        <v>594678</v>
      </c>
      <c r="E14" s="6">
        <f>149672+141173+126862+146541+121886</f>
        <v>686134</v>
      </c>
      <c r="F14" s="6">
        <f>172596+170249+161810+169786+151232</f>
        <v>825673</v>
      </c>
      <c r="G14" s="6">
        <f>170674+174507+168621+173175+169223</f>
        <v>856200</v>
      </c>
      <c r="H14" s="6">
        <v>1069595</v>
      </c>
      <c r="I14" s="6">
        <v>1187519</v>
      </c>
      <c r="J14" s="6">
        <v>1126499</v>
      </c>
      <c r="K14" s="6">
        <v>1255807</v>
      </c>
      <c r="L14" s="6">
        <v>1656075</v>
      </c>
    </row>
    <row r="15" spans="1:12" ht="12.75">
      <c r="A15" s="8" t="s">
        <v>74</v>
      </c>
      <c r="B15" s="6">
        <f>196764+76005+103965+81238+94458</f>
        <v>552430</v>
      </c>
      <c r="C15" s="6">
        <f>190700+75170+109908+85509+104564</f>
        <v>565851</v>
      </c>
      <c r="D15" s="6">
        <f>197711+92349+119681+98962+108836</f>
        <v>617539</v>
      </c>
      <c r="E15" s="6">
        <f>186334+104090+139436+110324+116031</f>
        <v>656215</v>
      </c>
      <c r="F15" s="6">
        <f>202045+127199+142938+129046+132296</f>
        <v>733524</v>
      </c>
      <c r="G15" s="6">
        <f>224214+162259+174082+161686+158929</f>
        <v>881170</v>
      </c>
      <c r="H15" s="6">
        <v>849933</v>
      </c>
      <c r="I15" s="6">
        <v>1148551</v>
      </c>
      <c r="J15" s="6">
        <v>1017661</v>
      </c>
      <c r="K15" s="6">
        <v>1199423</v>
      </c>
      <c r="L15" s="6">
        <v>1511048</v>
      </c>
    </row>
    <row r="16" spans="1:12" ht="12.75">
      <c r="A16" s="8" t="s">
        <v>75</v>
      </c>
      <c r="B16" s="6">
        <f>110234+92635+76568+98840+72426</f>
        <v>450703</v>
      </c>
      <c r="C16" s="6">
        <f>120581+100190+81120+106807+80744</f>
        <v>489442</v>
      </c>
      <c r="D16" s="6">
        <f>126242+102617+89628+106585+81257</f>
        <v>506329</v>
      </c>
      <c r="E16" s="6">
        <f>131704+114739+98048+116983+96739</f>
        <v>558213</v>
      </c>
      <c r="F16" s="6">
        <f>148363+129839+117534+124625+107235</f>
        <v>627596</v>
      </c>
      <c r="G16" s="6">
        <f>173399+155873+153252+157758+141049</f>
        <v>781331</v>
      </c>
      <c r="H16" s="6">
        <v>810917</v>
      </c>
      <c r="I16" s="6">
        <v>1050225</v>
      </c>
      <c r="J16" s="6">
        <v>1167417</v>
      </c>
      <c r="K16" s="6">
        <v>1089911</v>
      </c>
      <c r="L16" s="6">
        <v>1299753</v>
      </c>
    </row>
    <row r="17" spans="1:12" ht="12.75">
      <c r="A17" s="8" t="s">
        <v>76</v>
      </c>
      <c r="B17" s="6">
        <f>171607+61555+81147+64170+76833</f>
        <v>455312</v>
      </c>
      <c r="C17" s="6">
        <f>169997+64689+86859+66339+78119</f>
        <v>466003</v>
      </c>
      <c r="D17" s="6">
        <f>168740+70708+90439+75470+85566</f>
        <v>490923</v>
      </c>
      <c r="E17" s="6">
        <f>164891+80747+105466+88089+91095</f>
        <v>530288</v>
      </c>
      <c r="F17" s="6">
        <f>148902+100512+122792+102553+97219</f>
        <v>571978</v>
      </c>
      <c r="G17" s="6">
        <f>175174+119395+126051+117465+123299</f>
        <v>661384</v>
      </c>
      <c r="H17" s="6">
        <v>788108</v>
      </c>
      <c r="I17" s="6">
        <v>807312</v>
      </c>
      <c r="J17" s="6">
        <v>1109111</v>
      </c>
      <c r="K17" s="6">
        <v>964961</v>
      </c>
      <c r="L17" s="6">
        <v>1202830</v>
      </c>
    </row>
    <row r="18" spans="1:12" ht="12.75">
      <c r="A18" s="8" t="s">
        <v>77</v>
      </c>
      <c r="B18" s="6">
        <f>78196+76911+57907+72605+52060</f>
        <v>337679</v>
      </c>
      <c r="C18" s="6">
        <f>84168+80732+59372+76499+56569</f>
        <v>357340</v>
      </c>
      <c r="D18" s="6">
        <f>99243+83157+68058+81018+64690</f>
        <v>396166</v>
      </c>
      <c r="E18" s="6">
        <f>97320+93550+74009+88386+70711</f>
        <v>423976</v>
      </c>
      <c r="F18" s="6">
        <f>104998+98163+83928+93370+85074</f>
        <v>465533</v>
      </c>
      <c r="G18" s="6">
        <f>120152+114019+100865+103367+91096</f>
        <v>529499</v>
      </c>
      <c r="H18" s="6">
        <v>687963</v>
      </c>
      <c r="I18" s="6">
        <v>751940</v>
      </c>
      <c r="J18" s="6">
        <v>985136</v>
      </c>
      <c r="K18" s="6">
        <v>1086317</v>
      </c>
      <c r="L18" s="6">
        <v>1081811</v>
      </c>
    </row>
    <row r="19" spans="1:12" ht="12.75">
      <c r="A19" s="8" t="s">
        <v>78</v>
      </c>
      <c r="B19" s="6">
        <f>132457+44183+54772+46758+51265</f>
        <v>329435</v>
      </c>
      <c r="C19" s="6">
        <f>135293+48142+63474+50596+58434</f>
        <v>355939</v>
      </c>
      <c r="D19" s="6">
        <f>139660+56193+66543+55069+58393</f>
        <v>375858</v>
      </c>
      <c r="E19" s="6">
        <f>127181+56712+71153+62572+67483</f>
        <v>385101</v>
      </c>
      <c r="F19" s="6">
        <f>122147+68447+80755+78336+72843</f>
        <v>422528</v>
      </c>
      <c r="G19" s="6">
        <f>109472+87711+97708+85384+81885</f>
        <v>462160</v>
      </c>
      <c r="H19" s="6">
        <v>546681</v>
      </c>
      <c r="I19" s="6">
        <v>692288</v>
      </c>
      <c r="J19" s="6">
        <v>722572</v>
      </c>
      <c r="K19" s="6">
        <v>1002129</v>
      </c>
      <c r="L19" s="6">
        <v>887299</v>
      </c>
    </row>
    <row r="20" spans="1:12" ht="12.75">
      <c r="A20" s="8" t="s">
        <v>79</v>
      </c>
      <c r="B20" s="6">
        <f>49405+45138+35807+36925+24510</f>
        <v>191785</v>
      </c>
      <c r="C20" s="6">
        <f>53371+40935+45468+29547+59168</f>
        <v>228489</v>
      </c>
      <c r="D20" s="6">
        <f>64058+54691+41794+44639+31762</f>
        <v>236944</v>
      </c>
      <c r="E20" s="6">
        <f>75369+64507+50365+52025+39101</f>
        <v>281367</v>
      </c>
      <c r="F20" s="6">
        <f>79560+70160+59955+56244+43352</f>
        <v>309271</v>
      </c>
      <c r="G20" s="6">
        <f>87109+75831+65085+63794+55504</f>
        <v>347323</v>
      </c>
      <c r="H20" s="6">
        <v>416957</v>
      </c>
      <c r="I20" s="6">
        <v>561826</v>
      </c>
      <c r="J20" s="6">
        <v>632122</v>
      </c>
      <c r="K20" s="6">
        <v>844266</v>
      </c>
      <c r="L20" s="6">
        <v>974563</v>
      </c>
    </row>
    <row r="21" spans="1:12" ht="12.75">
      <c r="A21" s="8" t="s">
        <v>80</v>
      </c>
      <c r="B21" s="6">
        <f>63899+18968+23987+19665+20242</f>
        <v>146761</v>
      </c>
      <c r="C21" s="6">
        <f>69062+21055+26574+19708+22224</f>
        <v>158623</v>
      </c>
      <c r="D21" s="6">
        <f>71555+26138+29379+22630+23429</f>
        <v>173131</v>
      </c>
      <c r="E21" s="6">
        <f>70429+30176+36449+27857+27193</f>
        <v>192104</v>
      </c>
      <c r="F21" s="6">
        <f>68415+33143+39859+33458+33122</f>
        <v>207997</v>
      </c>
      <c r="G21" s="6">
        <f>69388+44785+50221+43803+38995</f>
        <v>247192</v>
      </c>
      <c r="H21" s="6">
        <v>304089</v>
      </c>
      <c r="I21" s="6">
        <v>379974</v>
      </c>
      <c r="J21" s="6">
        <v>511004</v>
      </c>
      <c r="K21" s="6">
        <v>561392</v>
      </c>
      <c r="L21" s="6">
        <v>825119</v>
      </c>
    </row>
    <row r="22" spans="1:12" ht="12.75">
      <c r="A22" s="8" t="s">
        <v>81</v>
      </c>
      <c r="B22" s="6">
        <f>20828+17066+12895+13917+8078</f>
        <v>72784</v>
      </c>
      <c r="C22" s="6">
        <f>22257+17696+13332+14499+7895</f>
        <v>75679</v>
      </c>
      <c r="D22" s="6">
        <f>25307+19257+15480+15804+9837</f>
        <v>85685</v>
      </c>
      <c r="E22" s="6">
        <f>29169+23659+18543+19555+11366</f>
        <v>102292</v>
      </c>
      <c r="F22" s="6">
        <f>34881+27759+23583+22633+14761</f>
        <v>123617</v>
      </c>
      <c r="G22" s="6">
        <f>37407+31316+26879+25834+18200</f>
        <v>139636</v>
      </c>
      <c r="H22" s="6">
        <f>45325+40048+35283+32307+25820</f>
        <v>178783</v>
      </c>
      <c r="I22" s="6">
        <f>59431+50313+45399+42478+33196</f>
        <v>230817</v>
      </c>
      <c r="J22" s="6">
        <v>335782</v>
      </c>
      <c r="K22" s="6">
        <v>410966</v>
      </c>
      <c r="L22" s="6">
        <v>598876</v>
      </c>
    </row>
    <row r="23" spans="1:12" ht="12.75">
      <c r="A23" s="8" t="s">
        <v>82</v>
      </c>
      <c r="B23" s="6">
        <f>19169+4835+5045+3628+3856</f>
        <v>36533</v>
      </c>
      <c r="C23" s="6">
        <f>19322+5218+5992+4137+4739</f>
        <v>39408</v>
      </c>
      <c r="D23" s="6">
        <f>22150+5555+5774+3895+4224</f>
        <v>41598</v>
      </c>
      <c r="E23" s="6">
        <f>20526+7700+8272+5473+5763</f>
        <v>47734</v>
      </c>
      <c r="F23" s="6">
        <f>23264+9525+10005+6891+6534</f>
        <v>56219</v>
      </c>
      <c r="G23" s="6">
        <f>24018+11428+11849+9320+8670</f>
        <v>65285</v>
      </c>
      <c r="H23" s="6">
        <v>127197</v>
      </c>
      <c r="I23" s="6">
        <f>33898+27093+25695+19064+16233</f>
        <v>121983</v>
      </c>
      <c r="J23" s="6">
        <v>163455</v>
      </c>
      <c r="K23" s="6">
        <v>252288</v>
      </c>
      <c r="L23" s="6">
        <v>319419</v>
      </c>
    </row>
    <row r="24" spans="1:12" ht="12.75">
      <c r="A24" s="8" t="s">
        <v>83</v>
      </c>
      <c r="B24" s="6">
        <f>2999+2266+1698+1431+948+1369+307+306+210+177+194+130+94+111+72+55+28</f>
        <v>12395</v>
      </c>
      <c r="C24" s="6">
        <f>3838+2855+1925+1775+1090+1659+407+418+275+247+224+180+118+134+103+63+83</f>
        <v>15394</v>
      </c>
      <c r="D24" s="6">
        <f>3682+2599+1873+1810+984+1973+432+460+304+244+278+179+109+130+66+96+75</f>
        <v>15294</v>
      </c>
      <c r="E24" s="6">
        <f>4769+3684+2357+2280+1391+1690+565+483+384+213+216+200+135+131+152+42+6+6+4+4+1+2+1+1</f>
        <v>18717</v>
      </c>
      <c r="F24" s="6">
        <f>5772+4097+3153+2835+1763+1912+713+580+396+313+287+192+166+147+125+32+14+9+4+7+3+5+5+9+6</f>
        <v>22545</v>
      </c>
      <c r="G24" s="6">
        <f>7529+6089+3888+3402+2230+2074+795+748+504+455+392+262+171+91+111+20</f>
        <v>28761</v>
      </c>
      <c r="H24" s="12" t="s">
        <v>6</v>
      </c>
      <c r="I24" s="6">
        <v>61535</v>
      </c>
      <c r="J24" s="6">
        <v>81564</v>
      </c>
      <c r="K24" s="6">
        <v>139344</v>
      </c>
      <c r="L24" s="6">
        <v>212586</v>
      </c>
    </row>
    <row r="25" spans="1:12" ht="12.75">
      <c r="A25" s="8" t="s">
        <v>84</v>
      </c>
      <c r="B25" s="6">
        <v>10807</v>
      </c>
      <c r="C25" s="6">
        <v>9442</v>
      </c>
      <c r="D25" s="6">
        <v>34423</v>
      </c>
      <c r="E25" s="6">
        <v>24907</v>
      </c>
      <c r="F25" s="12" t="s">
        <v>5</v>
      </c>
      <c r="G25" s="6">
        <v>7211</v>
      </c>
      <c r="H25" s="6">
        <v>15534</v>
      </c>
      <c r="I25" s="12" t="s">
        <v>5</v>
      </c>
      <c r="J25" s="12" t="s">
        <v>5</v>
      </c>
      <c r="K25" s="12" t="s">
        <v>5</v>
      </c>
      <c r="L25" s="12" t="s">
        <v>5</v>
      </c>
    </row>
    <row r="26" spans="2:13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>
      <c r="A27" s="6" t="s">
        <v>85</v>
      </c>
      <c r="I27" s="8"/>
      <c r="J27" s="8"/>
      <c r="K27" s="8"/>
      <c r="L27" s="8"/>
      <c r="M27" s="8"/>
    </row>
    <row r="28" spans="1:13" ht="12.75">
      <c r="A28" s="6" t="s">
        <v>86</v>
      </c>
      <c r="H28" s="8"/>
      <c r="I28" s="8"/>
      <c r="J28" s="8"/>
      <c r="K28" s="8"/>
      <c r="L28" s="8"/>
      <c r="M28" s="8"/>
    </row>
    <row r="29" spans="1:8" ht="12.75">
      <c r="A29" s="6" t="s">
        <v>94</v>
      </c>
      <c r="H29" s="8"/>
    </row>
    <row r="30" ht="12.75">
      <c r="A30" s="6" t="s">
        <v>89</v>
      </c>
    </row>
    <row r="33" ht="12.75">
      <c r="A33" s="6" t="s">
        <v>90</v>
      </c>
    </row>
    <row r="34" ht="12.75">
      <c r="A34" s="6" t="s">
        <v>88</v>
      </c>
    </row>
    <row r="35" s="42" customFormat="1" ht="12.75">
      <c r="A35" s="78"/>
    </row>
    <row r="36" ht="12.75">
      <c r="A36" s="6" t="s">
        <v>91</v>
      </c>
    </row>
    <row r="37" ht="12.75">
      <c r="A37" s="6" t="s">
        <v>92</v>
      </c>
    </row>
    <row r="38" ht="12.75">
      <c r="A38" s="6" t="s">
        <v>93</v>
      </c>
    </row>
    <row r="40" ht="12.75">
      <c r="A40" s="6" t="s">
        <v>87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L46"/>
  <sheetViews>
    <sheetView zoomScalePageLayoutView="0" workbookViewId="0" topLeftCell="A1">
      <selection activeCell="A35" sqref="A35:IV35"/>
    </sheetView>
  </sheetViews>
  <sheetFormatPr defaultColWidth="11.421875" defaultRowHeight="12.75"/>
  <cols>
    <col min="1" max="1" width="35.421875" style="0" customWidth="1"/>
    <col min="2" max="2" width="14.8515625" style="0" customWidth="1"/>
    <col min="3" max="3" width="11.421875" style="0" hidden="1" customWidth="1"/>
    <col min="4" max="4" width="12.8515625" style="0" customWidth="1"/>
    <col min="5" max="5" width="14.8515625" style="0" customWidth="1"/>
    <col min="6" max="6" width="12.00390625" style="0" customWidth="1"/>
    <col min="7" max="7" width="15.00390625" style="0" customWidth="1"/>
    <col min="8" max="8" width="12.140625" style="0" customWidth="1"/>
    <col min="9" max="9" width="14.7109375" style="0" customWidth="1"/>
    <col min="10" max="10" width="12.140625" style="0" customWidth="1"/>
    <col min="11" max="11" width="12.7109375" style="0" customWidth="1"/>
    <col min="12" max="12" width="11.8515625" style="0" customWidth="1"/>
    <col min="13" max="13" width="15.00390625" style="0" customWidth="1"/>
    <col min="14" max="14" width="12.7109375" style="0" customWidth="1"/>
    <col min="15" max="15" width="15.00390625" style="0" customWidth="1"/>
    <col min="16" max="16" width="11.57421875" style="0" customWidth="1"/>
    <col min="17" max="17" width="15.00390625" style="0" customWidth="1"/>
    <col min="18" max="18" width="11.8515625" style="0" customWidth="1"/>
    <col min="19" max="19" width="15.00390625" style="0" customWidth="1"/>
    <col min="20" max="20" width="11.8515625" style="0" customWidth="1"/>
    <col min="21" max="21" width="14.7109375" style="0" customWidth="1"/>
    <col min="22" max="22" width="12.00390625" style="0" customWidth="1"/>
    <col min="23" max="23" width="15.28125" style="0" customWidth="1"/>
    <col min="24" max="24" width="13.7109375" style="0" customWidth="1"/>
    <col min="25" max="25" width="12.00390625" style="0" customWidth="1"/>
    <col min="26" max="26" width="12.57421875" style="0" customWidth="1"/>
  </cols>
  <sheetData>
    <row r="1" spans="1:87" s="24" customFormat="1" ht="18">
      <c r="A1" s="32" t="s">
        <v>99</v>
      </c>
      <c r="B1" s="28"/>
      <c r="C1" s="28"/>
      <c r="D1" s="28"/>
      <c r="E1" s="28"/>
      <c r="F1" s="28"/>
      <c r="G1" s="28"/>
      <c r="H1" s="28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</row>
    <row r="2" spans="1:87" s="24" customFormat="1" ht="18">
      <c r="A2" s="32" t="s">
        <v>98</v>
      </c>
      <c r="B2" s="28"/>
      <c r="C2" s="28"/>
      <c r="D2" s="28"/>
      <c r="E2" s="28"/>
      <c r="F2" s="2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</row>
    <row r="3" spans="1:87" ht="18">
      <c r="A3" s="22"/>
      <c r="B3" s="23"/>
      <c r="C3" s="23"/>
      <c r="D3" s="23"/>
      <c r="E3" s="2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7" s="24" customFormat="1" ht="14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</row>
    <row r="5" spans="1:87" s="60" customFormat="1" ht="15">
      <c r="A5" s="67"/>
      <c r="B5" s="68">
        <v>1900</v>
      </c>
      <c r="C5" s="69">
        <v>1900</v>
      </c>
      <c r="D5" s="69"/>
      <c r="E5" s="69">
        <v>1910</v>
      </c>
      <c r="F5" s="69"/>
      <c r="G5" s="69">
        <v>1920</v>
      </c>
      <c r="H5" s="69"/>
      <c r="I5" s="69">
        <v>1930</v>
      </c>
      <c r="J5" s="69"/>
      <c r="K5" s="69">
        <v>1940</v>
      </c>
      <c r="L5" s="69"/>
      <c r="M5" s="70">
        <v>1950</v>
      </c>
      <c r="N5" s="70"/>
      <c r="O5" s="70">
        <v>1960</v>
      </c>
      <c r="P5" s="70"/>
      <c r="Q5" s="70">
        <v>1970</v>
      </c>
      <c r="R5" s="70"/>
      <c r="S5" s="70">
        <v>1981</v>
      </c>
      <c r="T5" s="70"/>
      <c r="U5" s="70">
        <v>1991</v>
      </c>
      <c r="V5" s="70"/>
      <c r="W5" s="70">
        <v>2001</v>
      </c>
      <c r="X5" s="70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</row>
    <row r="6" spans="1:87" s="60" customFormat="1" ht="15">
      <c r="A6" s="67"/>
      <c r="B6" s="71" t="s">
        <v>100</v>
      </c>
      <c r="C6" s="71" t="s">
        <v>4</v>
      </c>
      <c r="D6" s="71" t="s">
        <v>101</v>
      </c>
      <c r="E6" s="71" t="s">
        <v>100</v>
      </c>
      <c r="F6" s="71" t="s">
        <v>101</v>
      </c>
      <c r="G6" s="71" t="s">
        <v>100</v>
      </c>
      <c r="H6" s="71" t="s">
        <v>101</v>
      </c>
      <c r="I6" s="71" t="s">
        <v>100</v>
      </c>
      <c r="J6" s="71" t="s">
        <v>101</v>
      </c>
      <c r="K6" s="71" t="s">
        <v>100</v>
      </c>
      <c r="L6" s="71" t="s">
        <v>101</v>
      </c>
      <c r="M6" s="71" t="s">
        <v>100</v>
      </c>
      <c r="N6" s="71" t="s">
        <v>101</v>
      </c>
      <c r="O6" s="71" t="s">
        <v>100</v>
      </c>
      <c r="P6" s="71" t="s">
        <v>101</v>
      </c>
      <c r="Q6" s="71" t="s">
        <v>100</v>
      </c>
      <c r="R6" s="71" t="s">
        <v>101</v>
      </c>
      <c r="S6" s="71" t="s">
        <v>100</v>
      </c>
      <c r="T6" s="71" t="s">
        <v>101</v>
      </c>
      <c r="U6" s="71" t="s">
        <v>100</v>
      </c>
      <c r="V6" s="71" t="s">
        <v>101</v>
      </c>
      <c r="W6" s="71" t="s">
        <v>100</v>
      </c>
      <c r="X6" s="71" t="s">
        <v>101</v>
      </c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</row>
    <row r="7" spans="1:87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</row>
    <row r="8" spans="1:142" ht="12.75">
      <c r="A8" s="3" t="s">
        <v>102</v>
      </c>
      <c r="B8" s="8">
        <v>9267</v>
      </c>
      <c r="C8" s="8">
        <v>9267</v>
      </c>
      <c r="D8" s="8">
        <v>18616630</v>
      </c>
      <c r="E8" s="8">
        <v>9263</v>
      </c>
      <c r="F8" s="8">
        <v>19990909</v>
      </c>
      <c r="G8" s="8">
        <v>9256</v>
      </c>
      <c r="H8" s="8">
        <v>21388551</v>
      </c>
      <c r="I8" s="8">
        <v>9262</v>
      </c>
      <c r="J8" s="8">
        <v>23677095</v>
      </c>
      <c r="K8" s="8">
        <v>9256</v>
      </c>
      <c r="L8" s="8">
        <v>26014278</v>
      </c>
      <c r="M8" s="8">
        <v>9214</v>
      </c>
      <c r="N8" s="8">
        <v>28117873</v>
      </c>
      <c r="O8" s="8">
        <v>9202</v>
      </c>
      <c r="P8" s="8">
        <v>30582936</v>
      </c>
      <c r="Q8" s="8">
        <v>8655</v>
      </c>
      <c r="R8" s="8">
        <v>33956047</v>
      </c>
      <c r="S8" s="8">
        <v>8022</v>
      </c>
      <c r="T8" s="8">
        <v>37746260</v>
      </c>
      <c r="U8" s="8">
        <v>8077</v>
      </c>
      <c r="V8" s="8">
        <v>39433942</v>
      </c>
      <c r="W8" s="8">
        <v>8108</v>
      </c>
      <c r="X8" s="8">
        <v>40847371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12.75">
      <c r="A9" s="3" t="s">
        <v>105</v>
      </c>
      <c r="B9" s="7">
        <v>7215</v>
      </c>
      <c r="C9" s="7">
        <f>19+3176+2367+1653</f>
        <v>7215</v>
      </c>
      <c r="D9" s="7">
        <f>1606+1037486+1724053+2362188</f>
        <v>5125333</v>
      </c>
      <c r="E9" s="7">
        <f>18+3042+2340+1691</f>
        <v>7091</v>
      </c>
      <c r="F9" s="7">
        <f>1489+995873+1691522+2405223</f>
        <v>5094107</v>
      </c>
      <c r="G9" s="7">
        <f>27+3032+2243+1699</f>
        <v>7001</v>
      </c>
      <c r="H9" s="7">
        <f>2273+972476+1598242+2390357</f>
        <v>4963348</v>
      </c>
      <c r="I9" s="7">
        <f>31+3003+2153+1688</f>
        <v>6875</v>
      </c>
      <c r="J9" s="7">
        <f>2616+953064+1531634+2366501</f>
        <v>4853815</v>
      </c>
      <c r="K9" s="7">
        <f>56+3008+2158+1623</f>
        <v>6845</v>
      </c>
      <c r="L9" s="7">
        <f>4498+939866+1533892+2298340</f>
        <v>4776596</v>
      </c>
      <c r="M9" s="7">
        <f>64+2975+2077+1624</f>
        <v>6740</v>
      </c>
      <c r="N9" s="7">
        <f>5357+922847+1472892+2306616</f>
        <v>4707712</v>
      </c>
      <c r="O9" s="7">
        <f>124+3261+1881+1497</f>
        <v>6763</v>
      </c>
      <c r="P9" s="7">
        <f>9502+964396+1334468+2132502</f>
        <v>4440868</v>
      </c>
      <c r="Q9" s="7">
        <f>451+3115+1557+1260</f>
        <v>6383</v>
      </c>
      <c r="R9" s="7">
        <f>30779+851140+1098881+1753279</f>
        <v>3734079</v>
      </c>
      <c r="S9" s="7">
        <f>682+2849+1303+1059</f>
        <v>5893</v>
      </c>
      <c r="T9" s="7">
        <f>42684+756666+932867+1513792</f>
        <v>3246009</v>
      </c>
      <c r="U9" s="7">
        <f>927+2882+1155+1021</f>
        <v>5985</v>
      </c>
      <c r="V9" s="7">
        <f>56316+738293+827188+1457282</f>
        <v>3079079</v>
      </c>
      <c r="W9" s="7">
        <v>5941</v>
      </c>
      <c r="X9" s="7">
        <v>2997457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87" ht="12.75">
      <c r="A10" s="3" t="s">
        <v>106</v>
      </c>
      <c r="B10" s="7">
        <v>1832</v>
      </c>
      <c r="C10" s="7">
        <f>707+671+454</f>
        <v>1832</v>
      </c>
      <c r="D10" s="7">
        <f>1740040+2603157+3152655</f>
        <v>7495852</v>
      </c>
      <c r="E10" s="7">
        <f>716+701+497</f>
        <v>1914</v>
      </c>
      <c r="F10" s="7">
        <f>1764482+2706047+3430122</f>
        <v>7900651</v>
      </c>
      <c r="G10" s="7">
        <f>746+700+523</f>
        <v>1969</v>
      </c>
      <c r="H10" s="7">
        <f>1830306+2689200+3630029</f>
        <v>8149535</v>
      </c>
      <c r="I10" s="7">
        <f>745+743+577</f>
        <v>2065</v>
      </c>
      <c r="J10" s="7">
        <f>1818828+2840370+4014623</f>
        <v>8673821</v>
      </c>
      <c r="K10" s="7">
        <f>733+727+567</f>
        <v>2027</v>
      </c>
      <c r="L10" s="7">
        <f>1804467+2811954+3922757</f>
        <v>8539178</v>
      </c>
      <c r="M10" s="7">
        <f>731+754+584</f>
        <v>2069</v>
      </c>
      <c r="N10" s="7">
        <f>1791409+2921020+4054930</f>
        <v>8767359</v>
      </c>
      <c r="O10" s="7">
        <f>689+704+623</f>
        <v>2016</v>
      </c>
      <c r="P10" s="7">
        <f>1684720+2722069+4371489</f>
        <v>8778278</v>
      </c>
      <c r="Q10" s="7">
        <f>638+614+532</f>
        <v>1784</v>
      </c>
      <c r="R10" s="7">
        <f>1557597+2366920+3721484</f>
        <v>7646001</v>
      </c>
      <c r="S10" s="7">
        <f>559+517+513</f>
        <v>1589</v>
      </c>
      <c r="T10" s="7">
        <f>1360693+1983929+3524103</f>
        <v>6868725</v>
      </c>
      <c r="U10" s="7">
        <f>532+486+491</f>
        <v>1509</v>
      </c>
      <c r="V10" s="7">
        <f>1299449+1888189+3394233</f>
        <v>6581871</v>
      </c>
      <c r="W10" s="7">
        <v>1517</v>
      </c>
      <c r="X10" s="7">
        <v>6663954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2.75">
      <c r="A11" s="3" t="s">
        <v>107</v>
      </c>
      <c r="B11" s="7">
        <v>202</v>
      </c>
      <c r="C11" s="7">
        <f>150+37+15</f>
        <v>202</v>
      </c>
      <c r="D11" s="7">
        <f>2014542+884329+563503</f>
        <v>3462374</v>
      </c>
      <c r="E11" s="7">
        <f>178+41+17</f>
        <v>236</v>
      </c>
      <c r="F11" s="7">
        <f>2403655+976776+626349</f>
        <v>4006780</v>
      </c>
      <c r="G11" s="7">
        <f>194+40+24</f>
        <v>258</v>
      </c>
      <c r="H11" s="7">
        <f>2646599+975119+822837</f>
        <v>4444555</v>
      </c>
      <c r="I11" s="7">
        <f>209+47+37</f>
        <v>293</v>
      </c>
      <c r="J11" s="7">
        <f>2845905+1122133+1391325</f>
        <v>5359363</v>
      </c>
      <c r="K11" s="7">
        <f>245+61+38</f>
        <v>344</v>
      </c>
      <c r="L11" s="7"/>
      <c r="M11" s="7">
        <f>256+62+33</f>
        <v>351</v>
      </c>
      <c r="N11" s="7">
        <f>3360742+1444739+1212766</f>
        <v>6018247</v>
      </c>
      <c r="O11" s="7">
        <f>254+76+32</f>
        <v>362</v>
      </c>
      <c r="P11" s="7">
        <f>3410424+1805206+1222786</f>
        <v>6438416</v>
      </c>
      <c r="Q11" s="7">
        <f>282+83+49</f>
        <v>414</v>
      </c>
      <c r="R11" s="7">
        <f>3783048+1927168+1906752</f>
        <v>7616968</v>
      </c>
      <c r="S11" s="7">
        <f>288+97+52</f>
        <v>437</v>
      </c>
      <c r="T11" s="7">
        <f>3954716+2325237+1966832</f>
        <v>8246785</v>
      </c>
      <c r="U11" s="7">
        <f>298+109+63</f>
        <v>470</v>
      </c>
      <c r="V11" s="7">
        <f>4102341+2604380+2375282</f>
        <v>9082003</v>
      </c>
      <c r="W11" s="7">
        <v>531</v>
      </c>
      <c r="X11" s="7">
        <v>10513191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2.75">
      <c r="A12" s="3" t="s">
        <v>108</v>
      </c>
      <c r="B12" s="7">
        <v>12</v>
      </c>
      <c r="C12" s="7">
        <v>12</v>
      </c>
      <c r="D12" s="7">
        <v>856723</v>
      </c>
      <c r="E12" s="7">
        <v>14</v>
      </c>
      <c r="F12" s="7">
        <v>934850</v>
      </c>
      <c r="G12" s="7">
        <v>19</v>
      </c>
      <c r="H12" s="7">
        <v>1263799</v>
      </c>
      <c r="I12" s="7">
        <v>18</v>
      </c>
      <c r="J12" s="7">
        <v>1276264</v>
      </c>
      <c r="K12" s="7">
        <v>22</v>
      </c>
      <c r="L12" s="7"/>
      <c r="M12" s="7">
        <v>30</v>
      </c>
      <c r="N12" s="7">
        <v>1884194</v>
      </c>
      <c r="O12" s="7">
        <v>35</v>
      </c>
      <c r="P12" s="7">
        <v>2442326</v>
      </c>
      <c r="Q12" s="7">
        <v>36</v>
      </c>
      <c r="R12" s="7">
        <v>2469556</v>
      </c>
      <c r="S12" s="7">
        <v>53</v>
      </c>
      <c r="T12" s="7">
        <v>3521466</v>
      </c>
      <c r="U12" s="7">
        <v>57</v>
      </c>
      <c r="V12" s="7">
        <v>3773817</v>
      </c>
      <c r="W12" s="7">
        <v>63</v>
      </c>
      <c r="X12" s="7">
        <v>4231284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2.75">
      <c r="A13" s="3" t="s">
        <v>109</v>
      </c>
      <c r="B13" s="7">
        <v>4</v>
      </c>
      <c r="C13" s="7">
        <v>4</v>
      </c>
      <c r="D13" s="7">
        <v>603513</v>
      </c>
      <c r="E13" s="7">
        <v>6</v>
      </c>
      <c r="F13" s="7">
        <v>867303</v>
      </c>
      <c r="G13" s="7">
        <v>7</v>
      </c>
      <c r="H13" s="7">
        <v>1106083</v>
      </c>
      <c r="I13" s="7">
        <v>9</v>
      </c>
      <c r="J13" s="7">
        <v>1555435</v>
      </c>
      <c r="K13" s="7">
        <v>16</v>
      </c>
      <c r="L13" s="7">
        <v>2802008</v>
      </c>
      <c r="M13" s="7">
        <v>21</v>
      </c>
      <c r="N13" s="7">
        <v>3332672</v>
      </c>
      <c r="O13" s="7">
        <v>23</v>
      </c>
      <c r="P13" s="7">
        <v>4160188</v>
      </c>
      <c r="Q13" s="7">
        <v>34</v>
      </c>
      <c r="R13" s="7">
        <v>6396468</v>
      </c>
      <c r="S13" s="7">
        <v>44</v>
      </c>
      <c r="T13" s="7">
        <v>8420510</v>
      </c>
      <c r="U13" s="7">
        <v>50</v>
      </c>
      <c r="V13" s="7">
        <v>9512029</v>
      </c>
      <c r="W13" s="7">
        <v>50</v>
      </c>
      <c r="X13" s="7">
        <v>9446485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12.75">
      <c r="A14" s="3" t="s">
        <v>110</v>
      </c>
      <c r="B14" s="7">
        <v>2</v>
      </c>
      <c r="C14" s="7">
        <v>2</v>
      </c>
      <c r="D14" s="7">
        <v>1072835</v>
      </c>
      <c r="E14" s="7">
        <v>2</v>
      </c>
      <c r="F14" s="7">
        <v>1187218</v>
      </c>
      <c r="G14" s="7">
        <v>2</v>
      </c>
      <c r="H14" s="7">
        <v>1461231</v>
      </c>
      <c r="I14" s="7">
        <v>2</v>
      </c>
      <c r="J14" s="7">
        <v>1958397</v>
      </c>
      <c r="K14" s="7">
        <v>2</v>
      </c>
      <c r="L14" s="7">
        <v>2169822</v>
      </c>
      <c r="M14" s="7">
        <v>3</v>
      </c>
      <c r="N14" s="7">
        <v>3407689</v>
      </c>
      <c r="O14" s="7">
        <v>3</v>
      </c>
      <c r="P14" s="7">
        <v>4322860</v>
      </c>
      <c r="Q14" s="7">
        <v>4</v>
      </c>
      <c r="R14" s="7">
        <v>6092975</v>
      </c>
      <c r="S14" s="7">
        <v>6</v>
      </c>
      <c r="T14" s="7">
        <v>7442765</v>
      </c>
      <c r="U14" s="7">
        <v>6</v>
      </c>
      <c r="V14" s="7">
        <v>7405143</v>
      </c>
      <c r="W14" s="7">
        <v>6</v>
      </c>
      <c r="X14" s="7">
        <v>7005000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ht="12.75">
      <c r="A15" s="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ht="12.75">
      <c r="A16" s="3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ht="12.75">
      <c r="A17" s="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ht="12.75">
      <c r="A18" s="3" t="s">
        <v>104</v>
      </c>
      <c r="B18" s="18">
        <v>100</v>
      </c>
      <c r="C18" s="18">
        <f>SUM(C19:C24)</f>
        <v>100</v>
      </c>
      <c r="D18" s="18">
        <f aca="true" t="shared" si="0" ref="D18:J18">SUM(D19:D24)</f>
        <v>100</v>
      </c>
      <c r="E18" s="18">
        <f t="shared" si="0"/>
        <v>100</v>
      </c>
      <c r="F18" s="18">
        <f t="shared" si="0"/>
        <v>100</v>
      </c>
      <c r="G18" s="18">
        <f t="shared" si="0"/>
        <v>100.00000000000001</v>
      </c>
      <c r="H18" s="18">
        <f t="shared" si="0"/>
        <v>100</v>
      </c>
      <c r="I18" s="18">
        <f t="shared" si="0"/>
        <v>100.00000000000001</v>
      </c>
      <c r="J18" s="18">
        <f t="shared" si="0"/>
        <v>100.00000000000001</v>
      </c>
      <c r="K18" s="18">
        <f>SUM(K19:K24)</f>
        <v>100</v>
      </c>
      <c r="L18" s="18">
        <v>100</v>
      </c>
      <c r="M18" s="18">
        <f aca="true" t="shared" si="1" ref="M18:V18">SUM(M19:M24)</f>
        <v>100</v>
      </c>
      <c r="N18" s="18">
        <f t="shared" si="1"/>
        <v>100</v>
      </c>
      <c r="O18" s="18">
        <f t="shared" si="1"/>
        <v>100.00000000000001</v>
      </c>
      <c r="P18" s="18">
        <f t="shared" si="1"/>
        <v>100</v>
      </c>
      <c r="Q18" s="18">
        <f t="shared" si="1"/>
        <v>100</v>
      </c>
      <c r="R18" s="18">
        <f t="shared" si="1"/>
        <v>100</v>
      </c>
      <c r="S18" s="18">
        <f t="shared" si="1"/>
        <v>100</v>
      </c>
      <c r="T18" s="18">
        <f t="shared" si="1"/>
        <v>100</v>
      </c>
      <c r="U18" s="18">
        <f t="shared" si="1"/>
        <v>100.00000000000001</v>
      </c>
      <c r="V18" s="18">
        <f t="shared" si="1"/>
        <v>99.99999999999999</v>
      </c>
      <c r="W18" s="18">
        <f>SUM(W19:W24)</f>
        <v>99.99999999999999</v>
      </c>
      <c r="X18" s="18">
        <f>SUM(X19:X24)</f>
        <v>100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ht="12.75">
      <c r="A19" s="3" t="s">
        <v>105</v>
      </c>
      <c r="B19" s="18">
        <v>77.85691162188411</v>
      </c>
      <c r="C19" s="18">
        <f aca="true" t="shared" si="2" ref="C19:V19">(C9/C$8)*100</f>
        <v>77.85691162188411</v>
      </c>
      <c r="D19" s="18">
        <f t="shared" si="2"/>
        <v>27.53093873595812</v>
      </c>
      <c r="E19" s="18">
        <f t="shared" si="2"/>
        <v>76.55187304329051</v>
      </c>
      <c r="F19" s="18">
        <f t="shared" si="2"/>
        <v>25.482117896689942</v>
      </c>
      <c r="G19" s="18">
        <f t="shared" si="2"/>
        <v>75.63742437337943</v>
      </c>
      <c r="H19" s="18">
        <f t="shared" si="2"/>
        <v>23.205629965302464</v>
      </c>
      <c r="I19" s="18">
        <f t="shared" si="2"/>
        <v>74.22802850356295</v>
      </c>
      <c r="J19" s="18">
        <f t="shared" si="2"/>
        <v>20.500044452243824</v>
      </c>
      <c r="K19" s="18">
        <f t="shared" si="2"/>
        <v>73.95203111495246</v>
      </c>
      <c r="L19" s="18">
        <f t="shared" si="2"/>
        <v>18.36143982162411</v>
      </c>
      <c r="M19" s="18">
        <f t="shared" si="2"/>
        <v>73.14955502496201</v>
      </c>
      <c r="N19" s="18">
        <f t="shared" si="2"/>
        <v>16.742774248962572</v>
      </c>
      <c r="O19" s="18">
        <f t="shared" si="2"/>
        <v>73.49489241469246</v>
      </c>
      <c r="P19" s="18">
        <f t="shared" si="2"/>
        <v>14.520737969696565</v>
      </c>
      <c r="Q19" s="18">
        <f t="shared" si="2"/>
        <v>73.74927787406124</v>
      </c>
      <c r="R19" s="18">
        <f t="shared" si="2"/>
        <v>10.996801247212314</v>
      </c>
      <c r="S19" s="18">
        <f t="shared" si="2"/>
        <v>73.46048366990775</v>
      </c>
      <c r="T19" s="18">
        <f t="shared" si="2"/>
        <v>8.599551319786384</v>
      </c>
      <c r="U19" s="18">
        <f t="shared" si="2"/>
        <v>74.09929429243532</v>
      </c>
      <c r="V19" s="18">
        <f t="shared" si="2"/>
        <v>7.808194777991001</v>
      </c>
      <c r="W19" s="18">
        <v>73.3</v>
      </c>
      <c r="X19" s="18">
        <v>7.3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ht="12.75">
      <c r="A20" s="3" t="s">
        <v>106</v>
      </c>
      <c r="B20" s="18">
        <v>19.769073054926082</v>
      </c>
      <c r="C20" s="18">
        <f aca="true" t="shared" si="3" ref="C20:V20">(C10/C$8)*100</f>
        <v>19.769073054926082</v>
      </c>
      <c r="D20" s="18">
        <f t="shared" si="3"/>
        <v>40.26427984012144</v>
      </c>
      <c r="E20" s="18">
        <f t="shared" si="3"/>
        <v>20.662852207708085</v>
      </c>
      <c r="F20" s="18">
        <f t="shared" si="3"/>
        <v>39.52121937026475</v>
      </c>
      <c r="G20" s="18">
        <f t="shared" si="3"/>
        <v>21.27268798617113</v>
      </c>
      <c r="H20" s="18">
        <f t="shared" si="3"/>
        <v>38.10232399567413</v>
      </c>
      <c r="I20" s="18">
        <f t="shared" si="3"/>
        <v>22.295400561433816</v>
      </c>
      <c r="J20" s="18">
        <f t="shared" si="3"/>
        <v>36.633805794165205</v>
      </c>
      <c r="K20" s="18">
        <f t="shared" si="3"/>
        <v>21.899308556611928</v>
      </c>
      <c r="L20" s="18">
        <f t="shared" si="3"/>
        <v>32.824966351170694</v>
      </c>
      <c r="M20" s="18">
        <f t="shared" si="3"/>
        <v>22.454959843716086</v>
      </c>
      <c r="N20" s="18">
        <f t="shared" si="3"/>
        <v>31.180733336408483</v>
      </c>
      <c r="O20" s="18">
        <f t="shared" si="3"/>
        <v>21.908280808519887</v>
      </c>
      <c r="P20" s="18">
        <f t="shared" si="3"/>
        <v>28.70318925560319</v>
      </c>
      <c r="Q20" s="18">
        <f t="shared" si="3"/>
        <v>20.612362796071633</v>
      </c>
      <c r="R20" s="18">
        <f t="shared" si="3"/>
        <v>22.517347204755605</v>
      </c>
      <c r="S20" s="18">
        <f t="shared" si="3"/>
        <v>19.80802792321117</v>
      </c>
      <c r="T20" s="18">
        <f t="shared" si="3"/>
        <v>18.197100851845985</v>
      </c>
      <c r="U20" s="18">
        <f t="shared" si="3"/>
        <v>18.68267921257893</v>
      </c>
      <c r="V20" s="18">
        <f t="shared" si="3"/>
        <v>16.69087762009692</v>
      </c>
      <c r="W20" s="18">
        <v>18.7</v>
      </c>
      <c r="X20" s="18">
        <v>16.3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ht="13.5" customHeight="1">
      <c r="A21" s="3" t="s">
        <v>107</v>
      </c>
      <c r="B21" s="18">
        <v>2.1797777058379193</v>
      </c>
      <c r="C21" s="18">
        <f aca="true" t="shared" si="4" ref="C21:V21">(C11/C$8)*100</f>
        <v>2.1797777058379193</v>
      </c>
      <c r="D21" s="18">
        <f t="shared" si="4"/>
        <v>18.59828551139492</v>
      </c>
      <c r="E21" s="18">
        <f t="shared" si="4"/>
        <v>2.547770700636943</v>
      </c>
      <c r="F21" s="18">
        <f t="shared" si="4"/>
        <v>20.043010550445707</v>
      </c>
      <c r="G21" s="18">
        <f t="shared" si="4"/>
        <v>2.787381158167675</v>
      </c>
      <c r="H21" s="18">
        <f t="shared" si="4"/>
        <v>20.78006593340521</v>
      </c>
      <c r="I21" s="18">
        <f t="shared" si="4"/>
        <v>3.1634636147700284</v>
      </c>
      <c r="J21" s="18">
        <f t="shared" si="4"/>
        <v>22.635221930730946</v>
      </c>
      <c r="K21" s="18">
        <f t="shared" si="4"/>
        <v>3.7165082108902334</v>
      </c>
      <c r="L21" s="18">
        <f t="shared" si="4"/>
        <v>0</v>
      </c>
      <c r="M21" s="18">
        <f t="shared" si="4"/>
        <v>3.809420447145648</v>
      </c>
      <c r="N21" s="18">
        <f t="shared" si="4"/>
        <v>21.40363533187592</v>
      </c>
      <c r="O21" s="18">
        <f t="shared" si="4"/>
        <v>3.933927407085416</v>
      </c>
      <c r="P21" s="18">
        <f t="shared" si="4"/>
        <v>21.05231492489799</v>
      </c>
      <c r="Q21" s="18">
        <f t="shared" si="4"/>
        <v>4.7833622183708835</v>
      </c>
      <c r="R21" s="18">
        <f t="shared" si="4"/>
        <v>22.431845497209967</v>
      </c>
      <c r="S21" s="18">
        <f t="shared" si="4"/>
        <v>5.447519321864871</v>
      </c>
      <c r="T21" s="18">
        <f t="shared" si="4"/>
        <v>21.847952618352124</v>
      </c>
      <c r="U21" s="18">
        <f t="shared" si="4"/>
        <v>5.818992200074285</v>
      </c>
      <c r="V21" s="18">
        <f t="shared" si="4"/>
        <v>23.030928533596768</v>
      </c>
      <c r="W21" s="18">
        <v>6.5</v>
      </c>
      <c r="X21" s="18">
        <v>25.7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ht="12.75">
      <c r="A22" s="3" t="s">
        <v>108</v>
      </c>
      <c r="B22" s="18">
        <v>0.12949174490126256</v>
      </c>
      <c r="C22" s="18">
        <f aca="true" t="shared" si="5" ref="C22:V22">(C12/C$8)*100</f>
        <v>0.12949174490126256</v>
      </c>
      <c r="D22" s="18">
        <f t="shared" si="5"/>
        <v>4.601923119275615</v>
      </c>
      <c r="E22" s="18">
        <f t="shared" si="5"/>
        <v>0.15113893986829322</v>
      </c>
      <c r="F22" s="18">
        <f t="shared" si="5"/>
        <v>4.676375646550139</v>
      </c>
      <c r="G22" s="18">
        <f t="shared" si="5"/>
        <v>0.2052722558340536</v>
      </c>
      <c r="H22" s="18">
        <f t="shared" si="5"/>
        <v>5.908763992474292</v>
      </c>
      <c r="I22" s="18">
        <f t="shared" si="5"/>
        <v>0.19434247462751025</v>
      </c>
      <c r="J22" s="18">
        <f t="shared" si="5"/>
        <v>5.390289644907874</v>
      </c>
      <c r="K22" s="18">
        <f t="shared" si="5"/>
        <v>0.23768366464995677</v>
      </c>
      <c r="L22" s="18">
        <f t="shared" si="5"/>
        <v>0</v>
      </c>
      <c r="M22" s="18">
        <f t="shared" si="5"/>
        <v>0.32559149120902975</v>
      </c>
      <c r="N22" s="18">
        <f t="shared" si="5"/>
        <v>6.701054521442643</v>
      </c>
      <c r="O22" s="18">
        <f t="shared" si="5"/>
        <v>0.3803520973701369</v>
      </c>
      <c r="P22" s="18">
        <f t="shared" si="5"/>
        <v>7.985910836029609</v>
      </c>
      <c r="Q22" s="18">
        <f t="shared" si="5"/>
        <v>0.41594454072790293</v>
      </c>
      <c r="R22" s="18">
        <f t="shared" si="5"/>
        <v>7.272801807583786</v>
      </c>
      <c r="S22" s="18">
        <f t="shared" si="5"/>
        <v>0.6606831214161057</v>
      </c>
      <c r="T22" s="18">
        <f t="shared" si="5"/>
        <v>9.329311036378174</v>
      </c>
      <c r="U22" s="18">
        <f t="shared" si="5"/>
        <v>0.7057075646898601</v>
      </c>
      <c r="V22" s="18">
        <f t="shared" si="5"/>
        <v>9.569971472798738</v>
      </c>
      <c r="W22" s="18">
        <v>0.8</v>
      </c>
      <c r="X22" s="18">
        <v>10.4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ht="12.75">
      <c r="A23" s="3" t="s">
        <v>109</v>
      </c>
      <c r="B23" s="18">
        <v>0.04316391496708751</v>
      </c>
      <c r="C23" s="18">
        <f aca="true" t="shared" si="6" ref="C23:V23">(C13/C$8)*100</f>
        <v>0.04316391496708751</v>
      </c>
      <c r="D23" s="18">
        <f t="shared" si="6"/>
        <v>3.2417951046994005</v>
      </c>
      <c r="E23" s="18">
        <f t="shared" si="6"/>
        <v>0.06477383137212565</v>
      </c>
      <c r="F23" s="18">
        <f t="shared" si="6"/>
        <v>4.3384870592928015</v>
      </c>
      <c r="G23" s="18">
        <f t="shared" si="6"/>
        <v>0.0756266205704408</v>
      </c>
      <c r="H23" s="18">
        <f t="shared" si="6"/>
        <v>5.171378837210618</v>
      </c>
      <c r="I23" s="18">
        <f t="shared" si="6"/>
        <v>0.09717123731375513</v>
      </c>
      <c r="J23" s="18">
        <f t="shared" si="6"/>
        <v>6.569365878711049</v>
      </c>
      <c r="K23" s="18">
        <f t="shared" si="6"/>
        <v>0.17286084701815038</v>
      </c>
      <c r="L23" s="18">
        <f t="shared" si="6"/>
        <v>10.771038888721032</v>
      </c>
      <c r="M23" s="18">
        <f t="shared" si="6"/>
        <v>0.22791404384632083</v>
      </c>
      <c r="N23" s="18">
        <f t="shared" si="6"/>
        <v>11.852503921615977</v>
      </c>
      <c r="O23" s="18">
        <f t="shared" si="6"/>
        <v>0.24994566398608997</v>
      </c>
      <c r="P23" s="18">
        <f t="shared" si="6"/>
        <v>13.602971277839382</v>
      </c>
      <c r="Q23" s="18">
        <f t="shared" si="6"/>
        <v>0.3928365106874639</v>
      </c>
      <c r="R23" s="18">
        <f t="shared" si="6"/>
        <v>18.83749306861308</v>
      </c>
      <c r="S23" s="18">
        <f t="shared" si="6"/>
        <v>0.5484916479680878</v>
      </c>
      <c r="T23" s="18">
        <f t="shared" si="6"/>
        <v>22.308196891559586</v>
      </c>
      <c r="U23" s="18">
        <f t="shared" si="6"/>
        <v>0.619041723412158</v>
      </c>
      <c r="V23" s="18">
        <f t="shared" si="6"/>
        <v>24.12142564900055</v>
      </c>
      <c r="W23" s="18">
        <v>0.6</v>
      </c>
      <c r="X23" s="18">
        <v>23.1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ht="12.75">
      <c r="A24" s="3" t="s">
        <v>110</v>
      </c>
      <c r="B24" s="18">
        <v>0.021581957483543756</v>
      </c>
      <c r="C24" s="18">
        <f aca="true" t="shared" si="7" ref="C24:V24">(C14/C$8)*100</f>
        <v>0.021581957483543756</v>
      </c>
      <c r="D24" s="18">
        <f t="shared" si="7"/>
        <v>5.762777688550505</v>
      </c>
      <c r="E24" s="18">
        <f t="shared" si="7"/>
        <v>0.021591277124041887</v>
      </c>
      <c r="F24" s="18">
        <f t="shared" si="7"/>
        <v>5.93878947675666</v>
      </c>
      <c r="G24" s="18">
        <f t="shared" si="7"/>
        <v>0.021607605877268798</v>
      </c>
      <c r="H24" s="18">
        <f t="shared" si="7"/>
        <v>6.831837275933278</v>
      </c>
      <c r="I24" s="18">
        <f t="shared" si="7"/>
        <v>0.021593608291945586</v>
      </c>
      <c r="J24" s="18">
        <f t="shared" si="7"/>
        <v>8.271272299241101</v>
      </c>
      <c r="K24" s="18">
        <f t="shared" si="7"/>
        <v>0.021607605877268798</v>
      </c>
      <c r="L24" s="18">
        <f t="shared" si="7"/>
        <v>8.340888799604587</v>
      </c>
      <c r="M24" s="18">
        <f t="shared" si="7"/>
        <v>0.03255914912090298</v>
      </c>
      <c r="N24" s="18">
        <f t="shared" si="7"/>
        <v>12.119298639694403</v>
      </c>
      <c r="O24" s="18">
        <f t="shared" si="7"/>
        <v>0.03260160834601174</v>
      </c>
      <c r="P24" s="18">
        <f t="shared" si="7"/>
        <v>14.134875735933267</v>
      </c>
      <c r="Q24" s="18">
        <f t="shared" si="7"/>
        <v>0.046216060080878106</v>
      </c>
      <c r="R24" s="18">
        <f t="shared" si="7"/>
        <v>17.943711174625243</v>
      </c>
      <c r="S24" s="18">
        <f t="shared" si="7"/>
        <v>0.07479431563201197</v>
      </c>
      <c r="T24" s="18">
        <f t="shared" si="7"/>
        <v>19.717887282077747</v>
      </c>
      <c r="U24" s="18">
        <f t="shared" si="7"/>
        <v>0.07428500680945896</v>
      </c>
      <c r="V24" s="18">
        <f t="shared" si="7"/>
        <v>18.778601946516023</v>
      </c>
      <c r="W24" s="18">
        <v>0.1</v>
      </c>
      <c r="X24" s="18">
        <v>17.2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ht="14.25">
      <c r="A25" s="2" t="s">
        <v>7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ht="12.75">
      <c r="A26" s="2" t="s">
        <v>103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s="24" customFormat="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</row>
    <row r="36" spans="1:8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35" sqref="A35:IV35"/>
    </sheetView>
  </sheetViews>
  <sheetFormatPr defaultColWidth="11.421875" defaultRowHeight="12.75"/>
  <cols>
    <col min="1" max="1" width="17.57421875" style="0" customWidth="1"/>
  </cols>
  <sheetData>
    <row r="1" spans="1:8" s="24" customFormat="1" ht="18">
      <c r="A1" s="38" t="s">
        <v>111</v>
      </c>
      <c r="B1" s="29"/>
      <c r="C1" s="29"/>
      <c r="D1" s="29"/>
      <c r="E1" s="29"/>
      <c r="F1" s="29"/>
      <c r="G1" s="29"/>
      <c r="H1" s="29"/>
    </row>
    <row r="2" spans="1:6" s="24" customFormat="1" ht="18">
      <c r="A2" s="32" t="s">
        <v>112</v>
      </c>
      <c r="B2" s="29"/>
      <c r="C2" s="29"/>
      <c r="D2" s="29"/>
      <c r="E2" s="29"/>
      <c r="F2" s="29"/>
    </row>
    <row r="4" s="24" customFormat="1" ht="12.75"/>
    <row r="5" spans="1:13" s="60" customFormat="1" ht="15">
      <c r="A5" s="64" t="s">
        <v>113</v>
      </c>
      <c r="B5" s="64"/>
      <c r="C5" s="64" t="s">
        <v>38</v>
      </c>
      <c r="D5" s="66"/>
      <c r="E5" s="66"/>
      <c r="F5" s="66"/>
      <c r="G5" s="66"/>
      <c r="H5" s="66"/>
      <c r="I5" s="66"/>
      <c r="J5" s="66"/>
      <c r="K5" s="66"/>
      <c r="L5" s="66"/>
      <c r="M5" s="58"/>
    </row>
    <row r="6" spans="1:13" s="60" customFormat="1" ht="12.75">
      <c r="A6" s="58"/>
      <c r="B6" s="58"/>
      <c r="C6" s="59">
        <v>1900</v>
      </c>
      <c r="D6" s="59">
        <v>1910</v>
      </c>
      <c r="E6" s="59">
        <v>1920</v>
      </c>
      <c r="F6" s="59">
        <v>1930</v>
      </c>
      <c r="G6" s="59">
        <v>1940</v>
      </c>
      <c r="H6" s="59">
        <v>1950</v>
      </c>
      <c r="I6" s="59">
        <v>1960</v>
      </c>
      <c r="J6" s="59">
        <v>1970</v>
      </c>
      <c r="K6" s="59">
        <v>1981</v>
      </c>
      <c r="L6" s="59">
        <v>1991</v>
      </c>
      <c r="M6" s="59">
        <v>2001</v>
      </c>
    </row>
    <row r="7" spans="3:13" ht="12.7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ht="12.75">
      <c r="A8" s="3" t="s">
        <v>63</v>
      </c>
    </row>
    <row r="9" spans="1:13" ht="12.75">
      <c r="A9" s="3" t="s">
        <v>114</v>
      </c>
      <c r="B9" t="s">
        <v>116</v>
      </c>
      <c r="C9" s="6">
        <v>6226.2</v>
      </c>
      <c r="D9" s="6">
        <v>7717</v>
      </c>
      <c r="E9" s="6">
        <v>9904.8</v>
      </c>
      <c r="F9" s="6">
        <v>13171.7</v>
      </c>
      <c r="G9" s="6">
        <v>17117.3</v>
      </c>
      <c r="H9" s="6">
        <v>20184.1</v>
      </c>
      <c r="I9" s="6">
        <v>22881.2</v>
      </c>
      <c r="J9" s="6">
        <v>25182</v>
      </c>
      <c r="K9" s="6">
        <v>29308.4</v>
      </c>
      <c r="L9" s="6">
        <v>33306.3</v>
      </c>
      <c r="M9" s="6">
        <v>35872</v>
      </c>
    </row>
    <row r="10" spans="1:13" ht="12.75">
      <c r="A10" s="3" t="s">
        <v>115</v>
      </c>
      <c r="B10" t="s">
        <v>117</v>
      </c>
      <c r="C10" s="9">
        <v>56.07</v>
      </c>
      <c r="D10" s="9">
        <v>50.31</v>
      </c>
      <c r="E10" s="9">
        <v>42.88</v>
      </c>
      <c r="F10" s="9">
        <v>31.13</v>
      </c>
      <c r="G10" s="9">
        <v>23.17</v>
      </c>
      <c r="H10" s="9">
        <v>17.34</v>
      </c>
      <c r="I10" s="9">
        <v>13.64</v>
      </c>
      <c r="J10" s="9">
        <v>8.8</v>
      </c>
      <c r="K10" s="9">
        <v>6.36</v>
      </c>
      <c r="L10" s="9">
        <v>3.25</v>
      </c>
      <c r="M10" s="9">
        <v>2.4</v>
      </c>
    </row>
    <row r="11" spans="1:13" ht="12.75">
      <c r="A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3" t="s">
        <v>39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.75">
      <c r="A13" s="3" t="s">
        <v>114</v>
      </c>
      <c r="B13" t="s">
        <v>116</v>
      </c>
      <c r="C13" s="6">
        <v>3830.4</v>
      </c>
      <c r="D13" s="6">
        <v>4464.6</v>
      </c>
      <c r="E13" s="6">
        <v>5442.1</v>
      </c>
      <c r="F13" s="6">
        <v>7101.1</v>
      </c>
      <c r="G13" s="6">
        <v>8732.3</v>
      </c>
      <c r="H13" s="6">
        <v>10185.4</v>
      </c>
      <c r="I13" s="6">
        <v>11571</v>
      </c>
      <c r="J13" s="6">
        <v>12668.2</v>
      </c>
      <c r="K13" s="6">
        <v>14652.1</v>
      </c>
      <c r="L13" s="6">
        <v>16447.2</v>
      </c>
      <c r="M13" s="6">
        <v>17181</v>
      </c>
    </row>
    <row r="14" spans="1:13" ht="12.75">
      <c r="A14" s="3" t="s">
        <v>115</v>
      </c>
      <c r="B14" t="s">
        <v>117</v>
      </c>
      <c r="C14" s="9">
        <v>45.58</v>
      </c>
      <c r="D14" s="9">
        <v>41.13</v>
      </c>
      <c r="E14" s="9">
        <v>34.99</v>
      </c>
      <c r="F14" s="9">
        <v>23.68</v>
      </c>
      <c r="G14" s="9">
        <v>17.28</v>
      </c>
      <c r="H14" s="9">
        <v>12.18</v>
      </c>
      <c r="I14" s="9">
        <v>8.99</v>
      </c>
      <c r="J14" s="9">
        <v>5.09</v>
      </c>
      <c r="K14" s="9">
        <v>3.63</v>
      </c>
      <c r="L14" s="9">
        <v>1.84</v>
      </c>
      <c r="M14" s="9">
        <v>1.6</v>
      </c>
    </row>
    <row r="15" spans="1:13" ht="12.75">
      <c r="A15" s="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3" t="s">
        <v>40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3" t="s">
        <v>114</v>
      </c>
      <c r="B17" t="s">
        <v>116</v>
      </c>
      <c r="C17" s="6">
        <v>2395.8</v>
      </c>
      <c r="D17" s="6">
        <v>3252.4</v>
      </c>
      <c r="E17" s="6">
        <v>4462.7</v>
      </c>
      <c r="F17" s="6">
        <v>6070.6</v>
      </c>
      <c r="G17" s="6">
        <v>8385</v>
      </c>
      <c r="H17" s="6">
        <v>9998.7</v>
      </c>
      <c r="I17" s="6">
        <v>11310.2</v>
      </c>
      <c r="J17" s="6">
        <v>12513.8</v>
      </c>
      <c r="K17" s="6">
        <v>14656.3</v>
      </c>
      <c r="L17" s="6">
        <v>16859.1</v>
      </c>
      <c r="M17" s="6">
        <v>18191</v>
      </c>
    </row>
    <row r="18" spans="1:13" ht="12.75">
      <c r="A18" s="3" t="s">
        <v>115</v>
      </c>
      <c r="B18" t="s">
        <v>117</v>
      </c>
      <c r="C18" s="9">
        <v>65.89</v>
      </c>
      <c r="D18" s="9">
        <v>58.82</v>
      </c>
      <c r="E18" s="9">
        <v>50.16</v>
      </c>
      <c r="F18" s="9">
        <v>38.09</v>
      </c>
      <c r="G18" s="9">
        <v>28.46</v>
      </c>
      <c r="H18" s="9">
        <v>22</v>
      </c>
      <c r="I18" s="9">
        <v>17.93</v>
      </c>
      <c r="J18" s="9">
        <v>12.26</v>
      </c>
      <c r="K18" s="9">
        <v>8.94</v>
      </c>
      <c r="L18" s="9">
        <v>4.59</v>
      </c>
      <c r="M18" s="9">
        <v>3.3</v>
      </c>
    </row>
    <row r="20" ht="12.75">
      <c r="A20" s="15" t="s">
        <v>118</v>
      </c>
    </row>
    <row r="35" s="24" customFormat="1" ht="12.75"/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4">
      <selection activeCell="A35" sqref="A35:IV35"/>
    </sheetView>
  </sheetViews>
  <sheetFormatPr defaultColWidth="11.421875" defaultRowHeight="12.75"/>
  <cols>
    <col min="2" max="2" width="22.8515625" style="0" customWidth="1"/>
  </cols>
  <sheetData>
    <row r="1" spans="1:8" s="24" customFormat="1" ht="18">
      <c r="A1" s="32" t="s">
        <v>120</v>
      </c>
      <c r="B1" s="29"/>
      <c r="C1" s="29"/>
      <c r="D1" s="29"/>
      <c r="E1" s="29"/>
      <c r="F1" s="29"/>
      <c r="G1" s="29"/>
      <c r="H1" s="29"/>
    </row>
    <row r="2" spans="1:6" s="24" customFormat="1" ht="18">
      <c r="A2" s="32" t="s">
        <v>119</v>
      </c>
      <c r="B2" s="29"/>
      <c r="C2" s="29"/>
      <c r="D2" s="29"/>
      <c r="E2" s="29"/>
      <c r="F2" s="29"/>
    </row>
    <row r="3" ht="15">
      <c r="A3" s="27" t="s">
        <v>121</v>
      </c>
    </row>
    <row r="4" spans="2:12" s="24" customFormat="1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s="60" customFormat="1" ht="15">
      <c r="A5" s="64" t="s">
        <v>123</v>
      </c>
      <c r="B5" s="58"/>
      <c r="C5" s="64" t="s">
        <v>0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s="60" customFormat="1" ht="12.75">
      <c r="A6" s="58" t="s">
        <v>124</v>
      </c>
      <c r="B6" s="58"/>
      <c r="C6" s="59">
        <v>1900</v>
      </c>
      <c r="D6" s="59">
        <v>1910</v>
      </c>
      <c r="E6" s="59">
        <v>1920</v>
      </c>
      <c r="F6" s="59">
        <v>1930</v>
      </c>
      <c r="G6" s="59">
        <v>1940</v>
      </c>
      <c r="H6" s="59">
        <v>1950</v>
      </c>
      <c r="I6" s="59">
        <v>1960</v>
      </c>
      <c r="J6" s="59">
        <v>1970</v>
      </c>
      <c r="K6" s="59">
        <v>1981</v>
      </c>
      <c r="L6" s="59">
        <v>1991</v>
      </c>
      <c r="M6" s="59">
        <v>2001</v>
      </c>
    </row>
    <row r="7" spans="1:13" ht="12.75">
      <c r="A7" s="3" t="s">
        <v>63</v>
      </c>
      <c r="C7" s="8">
        <v>18753.2</v>
      </c>
      <c r="D7" s="8">
        <v>20051.7</v>
      </c>
      <c r="E7" s="8">
        <v>21389.8</v>
      </c>
      <c r="F7" s="8">
        <v>23677.8</v>
      </c>
      <c r="G7" s="8">
        <v>25878</v>
      </c>
      <c r="H7" s="8">
        <v>27976.8</v>
      </c>
      <c r="I7" s="8">
        <v>30358.6</v>
      </c>
      <c r="J7" s="8">
        <v>34040.7</v>
      </c>
      <c r="K7" s="8">
        <v>37683.3</v>
      </c>
      <c r="L7" s="8">
        <v>38872.3</v>
      </c>
      <c r="M7" s="8">
        <v>40596</v>
      </c>
    </row>
    <row r="8" spans="1:13" ht="12.75">
      <c r="A8" s="3" t="s">
        <v>125</v>
      </c>
      <c r="C8" s="6">
        <v>7547</v>
      </c>
      <c r="D8" s="6">
        <v>7581.5</v>
      </c>
      <c r="E8" s="6">
        <v>7962.4</v>
      </c>
      <c r="F8" s="6">
        <v>8772.5</v>
      </c>
      <c r="G8" s="6">
        <v>9360.9</v>
      </c>
      <c r="H8" s="6">
        <v>10793.1</v>
      </c>
      <c r="I8" s="6">
        <v>11816.6</v>
      </c>
      <c r="J8" s="6">
        <v>11908.1</v>
      </c>
      <c r="K8" s="6">
        <v>12797</v>
      </c>
      <c r="L8" s="6">
        <v>15398.6</v>
      </c>
      <c r="M8" s="6">
        <v>19031</v>
      </c>
    </row>
    <row r="9" spans="1:13" ht="12.75">
      <c r="A9" s="3" t="s">
        <v>127</v>
      </c>
      <c r="C9" s="6">
        <v>11206.2</v>
      </c>
      <c r="D9" s="6">
        <v>12470.2</v>
      </c>
      <c r="E9" s="6">
        <v>13427.4</v>
      </c>
      <c r="F9" s="6">
        <v>14905.3</v>
      </c>
      <c r="G9" s="6">
        <v>16517.1</v>
      </c>
      <c r="H9" s="6">
        <v>17183.7</v>
      </c>
      <c r="I9" s="6">
        <v>18542</v>
      </c>
      <c r="J9" s="6">
        <v>22132.6</v>
      </c>
      <c r="K9" s="6">
        <v>24886.3</v>
      </c>
      <c r="L9" s="6">
        <v>23473.7</v>
      </c>
      <c r="M9" s="6">
        <v>21565</v>
      </c>
    </row>
    <row r="10" spans="1:13" ht="12.75">
      <c r="A10" s="3" t="s">
        <v>39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3" t="s">
        <v>125</v>
      </c>
      <c r="C11" s="6">
        <v>6164.2</v>
      </c>
      <c r="D11" s="6">
        <v>6557</v>
      </c>
      <c r="E11" s="6">
        <v>6930.4</v>
      </c>
      <c r="F11" s="6">
        <v>7662.7</v>
      </c>
      <c r="G11" s="6">
        <v>8237.1</v>
      </c>
      <c r="H11" s="6">
        <v>9084.3</v>
      </c>
      <c r="I11" s="6">
        <v>9436.8</v>
      </c>
      <c r="J11" s="6">
        <v>9574.1</v>
      </c>
      <c r="K11" s="6">
        <v>9628.9</v>
      </c>
      <c r="L11" s="6">
        <v>10131.9</v>
      </c>
      <c r="M11" s="6">
        <v>11353</v>
      </c>
    </row>
    <row r="12" spans="1:13" ht="12.75">
      <c r="A12" s="3" t="s">
        <v>127</v>
      </c>
      <c r="C12" s="6">
        <v>3045</v>
      </c>
      <c r="D12" s="6">
        <v>3221.3</v>
      </c>
      <c r="E12" s="6">
        <v>3443</v>
      </c>
      <c r="F12" s="6">
        <v>3903.1</v>
      </c>
      <c r="G12" s="6">
        <v>4176.7</v>
      </c>
      <c r="H12" s="6">
        <v>4385.4</v>
      </c>
      <c r="I12" s="6">
        <v>5288.5</v>
      </c>
      <c r="J12" s="6">
        <v>7067.7</v>
      </c>
      <c r="K12" s="6">
        <v>8862.8</v>
      </c>
      <c r="L12" s="6">
        <v>8904.5</v>
      </c>
      <c r="M12" s="6">
        <v>8566</v>
      </c>
    </row>
    <row r="13" spans="1:13" ht="12.75">
      <c r="A13" s="3" t="s">
        <v>40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.75">
      <c r="A14" s="3" t="s">
        <v>125</v>
      </c>
      <c r="C14" s="6">
        <v>1382.8</v>
      </c>
      <c r="D14" s="6">
        <v>1024.5</v>
      </c>
      <c r="E14" s="6">
        <v>1032</v>
      </c>
      <c r="F14" s="6">
        <v>1109.8</v>
      </c>
      <c r="G14" s="6">
        <v>1123.8</v>
      </c>
      <c r="H14" s="6">
        <v>1708.8</v>
      </c>
      <c r="I14" s="6">
        <v>2379.8</v>
      </c>
      <c r="J14" s="6">
        <v>2334</v>
      </c>
      <c r="K14" s="6">
        <v>3168.1</v>
      </c>
      <c r="L14" s="6">
        <v>5266.7</v>
      </c>
      <c r="M14" s="6">
        <v>7678</v>
      </c>
    </row>
    <row r="15" spans="1:13" ht="12.75">
      <c r="A15" s="3" t="s">
        <v>127</v>
      </c>
      <c r="C15" s="6">
        <v>8160.7</v>
      </c>
      <c r="D15" s="6">
        <v>9248.9</v>
      </c>
      <c r="E15" s="6">
        <v>9984.4</v>
      </c>
      <c r="F15" s="6">
        <v>11002.2</v>
      </c>
      <c r="G15" s="6">
        <v>12340.4</v>
      </c>
      <c r="H15" s="6">
        <v>12798.8</v>
      </c>
      <c r="I15" s="6">
        <v>13253.5</v>
      </c>
      <c r="J15" s="6">
        <v>15064.9</v>
      </c>
      <c r="K15" s="6">
        <v>16023.5</v>
      </c>
      <c r="L15" s="6">
        <v>14569.2</v>
      </c>
      <c r="M15" s="6">
        <v>12999</v>
      </c>
    </row>
    <row r="16" spans="1:13" ht="12.75">
      <c r="A16" s="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3" t="s">
        <v>126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.75">
      <c r="A18" s="3" t="s">
        <v>63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.75">
      <c r="A19" s="3" t="s">
        <v>125</v>
      </c>
      <c r="C19" s="9">
        <v>402.4</v>
      </c>
      <c r="D19" s="9">
        <v>378.1</v>
      </c>
      <c r="E19" s="9">
        <v>372.3</v>
      </c>
      <c r="F19" s="9">
        <v>370.5</v>
      </c>
      <c r="G19" s="9">
        <v>361.7</v>
      </c>
      <c r="H19" s="9">
        <v>385.8</v>
      </c>
      <c r="I19" s="9">
        <v>387.1</v>
      </c>
      <c r="J19" s="9">
        <v>349.8</v>
      </c>
      <c r="K19" s="9">
        <v>339.6</v>
      </c>
      <c r="L19" s="9">
        <v>396.1</v>
      </c>
      <c r="M19" s="9">
        <v>468.8</v>
      </c>
    </row>
    <row r="20" spans="1:13" ht="12.75">
      <c r="A20" s="3" t="s">
        <v>127</v>
      </c>
      <c r="C20" s="9">
        <v>597.6</v>
      </c>
      <c r="D20" s="9">
        <v>621.9</v>
      </c>
      <c r="E20" s="9">
        <v>627.7</v>
      </c>
      <c r="F20" s="9">
        <v>629.5</v>
      </c>
      <c r="G20" s="9">
        <v>638.3</v>
      </c>
      <c r="H20" s="9">
        <v>614.2</v>
      </c>
      <c r="I20" s="9">
        <v>607.4</v>
      </c>
      <c r="J20" s="9">
        <v>650.2</v>
      </c>
      <c r="K20" s="9">
        <v>660.4</v>
      </c>
      <c r="L20" s="9">
        <v>603.9</v>
      </c>
      <c r="M20" s="9">
        <v>531.21</v>
      </c>
    </row>
    <row r="21" spans="1:13" ht="12.75">
      <c r="A21" s="3" t="s">
        <v>39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3" t="s">
        <v>125</v>
      </c>
      <c r="C22" s="9">
        <v>669.3</v>
      </c>
      <c r="D22" s="9">
        <v>670.6</v>
      </c>
      <c r="E22" s="9">
        <v>668.1</v>
      </c>
      <c r="F22" s="9">
        <v>662.5</v>
      </c>
      <c r="G22" s="9">
        <v>663.5</v>
      </c>
      <c r="H22" s="9">
        <v>674.4</v>
      </c>
      <c r="I22" s="9">
        <v>637.2</v>
      </c>
      <c r="J22" s="9">
        <v>575.3</v>
      </c>
      <c r="K22" s="9">
        <v>520.7</v>
      </c>
      <c r="L22" s="9">
        <v>532.2</v>
      </c>
      <c r="M22" s="9">
        <v>570</v>
      </c>
    </row>
    <row r="23" spans="1:13" ht="12.75">
      <c r="A23" s="3" t="s">
        <v>127</v>
      </c>
      <c r="C23" s="9">
        <v>330.7</v>
      </c>
      <c r="D23" s="9">
        <v>329.4</v>
      </c>
      <c r="E23" s="9">
        <v>331.9</v>
      </c>
      <c r="F23" s="9">
        <v>337.5</v>
      </c>
      <c r="G23" s="9">
        <v>336.5</v>
      </c>
      <c r="H23" s="9">
        <v>325.6</v>
      </c>
      <c r="I23" s="9">
        <v>357.1</v>
      </c>
      <c r="J23" s="9">
        <v>424.7</v>
      </c>
      <c r="K23" s="9">
        <v>479.3</v>
      </c>
      <c r="L23" s="9">
        <v>467.8</v>
      </c>
      <c r="M23" s="9">
        <v>430</v>
      </c>
    </row>
    <row r="24" spans="1:13" ht="12.75">
      <c r="A24" s="3" t="s">
        <v>40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3" t="s">
        <v>125</v>
      </c>
      <c r="C25" s="9">
        <v>144.9</v>
      </c>
      <c r="D25" s="9">
        <v>99.7</v>
      </c>
      <c r="E25" s="9">
        <v>93.7</v>
      </c>
      <c r="F25" s="9">
        <v>91.6</v>
      </c>
      <c r="G25" s="9">
        <v>83.5</v>
      </c>
      <c r="H25" s="9">
        <v>117.8</v>
      </c>
      <c r="I25" s="9">
        <v>151.4</v>
      </c>
      <c r="J25" s="9">
        <v>134.1</v>
      </c>
      <c r="K25" s="9">
        <v>165.1</v>
      </c>
      <c r="L25" s="9">
        <v>265.5</v>
      </c>
      <c r="M25" s="9">
        <v>371.3</v>
      </c>
    </row>
    <row r="26" spans="1:13" ht="12.75">
      <c r="A26" s="3" t="s">
        <v>127</v>
      </c>
      <c r="C26" s="9">
        <v>855.1</v>
      </c>
      <c r="D26" s="9">
        <v>900.3</v>
      </c>
      <c r="E26" s="9">
        <v>906.3</v>
      </c>
      <c r="F26" s="9">
        <v>908.4</v>
      </c>
      <c r="G26" s="9">
        <v>916.5</v>
      </c>
      <c r="H26" s="9">
        <v>882.2</v>
      </c>
      <c r="I26" s="9">
        <v>843.1</v>
      </c>
      <c r="J26" s="9">
        <v>865.9</v>
      </c>
      <c r="K26" s="9">
        <v>834.9</v>
      </c>
      <c r="L26" s="9">
        <v>734.5</v>
      </c>
      <c r="M26" s="9">
        <v>628.7</v>
      </c>
    </row>
    <row r="29" ht="12.75">
      <c r="A29" t="s">
        <v>128</v>
      </c>
    </row>
    <row r="30" ht="12.75">
      <c r="A30" t="s">
        <v>129</v>
      </c>
    </row>
    <row r="31" ht="12.75">
      <c r="A31" t="s">
        <v>130</v>
      </c>
    </row>
    <row r="32" ht="12.75">
      <c r="A32" t="s">
        <v>131</v>
      </c>
    </row>
    <row r="34" ht="12.75">
      <c r="A34" t="s">
        <v>132</v>
      </c>
    </row>
    <row r="35" s="24" customFormat="1" ht="12.75">
      <c r="A35" s="24" t="s">
        <v>133</v>
      </c>
    </row>
    <row r="37" spans="1:12" ht="12.75">
      <c r="A37" t="s">
        <v>134</v>
      </c>
      <c r="L37" t="s">
        <v>7</v>
      </c>
    </row>
    <row r="38" ht="12.75">
      <c r="A38" t="s">
        <v>135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2010-04-16T08:08:04Z</cp:lastPrinted>
  <dcterms:created xsi:type="dcterms:W3CDTF">2001-03-08T13:17:45Z</dcterms:created>
  <dcterms:modified xsi:type="dcterms:W3CDTF">2016-11-24T12:43:19Z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